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Q:\DSC\Communication\03 Internet\AGA Webserver 2017\tools\"/>
    </mc:Choice>
  </mc:AlternateContent>
  <bookViews>
    <workbookView xWindow="0" yWindow="0" windowWidth="16320" windowHeight="5325"/>
  </bookViews>
  <sheets>
    <sheet name="HINWEISE" sheetId="15" r:id="rId1"/>
    <sheet name="UFK-Garantie" sheetId="14" r:id="rId2"/>
    <sheet name="Verbriefungsgarantie" sheetId="19" r:id="rId3"/>
    <sheet name="Basisdaten" sheetId="16" state="hidden" r:id="rId4"/>
  </sheets>
  <externalReferences>
    <externalReference r:id="rId5"/>
    <externalReference r:id="rId6"/>
    <externalReference r:id="rId7"/>
  </externalReferences>
  <definedNames>
    <definedName name="_RLZ1" localSheetId="0">'[1]kurzfristige Deckung'!#REF!</definedName>
    <definedName name="_RLZ1">Basisdaten!$Y$114</definedName>
    <definedName name="_RLZ2" localSheetId="0">'[1]kurzfristige Deckung'!#REF!</definedName>
    <definedName name="_RLZ2">Basisdaten!$Y$149</definedName>
    <definedName name="_RLZ3" localSheetId="0">'[1]kurzfristige Deckung'!#REF!</definedName>
    <definedName name="_RLZ3">Basisdaten!$Y$173</definedName>
    <definedName name="_RLZ4" localSheetId="0">'[1]kurzfristige Deckung'!#REF!</definedName>
    <definedName name="_RLZ4">Basisdaten!$Y$197</definedName>
    <definedName name="_RLZ5" localSheetId="0">'[1]kurzfristige Deckung'!#REF!</definedName>
    <definedName name="_RLZ5">Basisdaten!$Y$221</definedName>
    <definedName name="_RLZ6" localSheetId="0">'[1]kurzfristige Deckung'!#REF!</definedName>
    <definedName name="_RLZ6">Basisdaten!$Y$245</definedName>
    <definedName name="_RLZ7" localSheetId="0">'[1]kurzfristige Deckung'!#REF!</definedName>
    <definedName name="_RLZ7">Basisdaten!$Y$269</definedName>
    <definedName name="Abweichung">[2]DEVELOPER!$H$12</definedName>
    <definedName name="Anzahl_Raten">[2]DEVELOPER!$H$11</definedName>
    <definedName name="Auswahl_Rückzahlung">[2]DEVELOPER!$H$5</definedName>
    <definedName name="AWL_NichtStandard">'[2]UFK-Entgelt'!$N$245</definedName>
    <definedName name="AWL_Standard">'[2]UFK-Entgelt'!$W$135</definedName>
    <definedName name="CE" localSheetId="3">Basisdaten!$F$41</definedName>
    <definedName name="CE">Basisdaten!$F$41</definedName>
    <definedName name="CE_1" localSheetId="3">#REF!</definedName>
    <definedName name="CE_1">#REF!</definedName>
    <definedName name="CE_2" localSheetId="3">#REF!</definedName>
    <definedName name="CE_2">#REF!</definedName>
    <definedName name="CE_3" localSheetId="3">#REF!</definedName>
    <definedName name="CE_3">#REF!</definedName>
    <definedName name="CE_4" localSheetId="3">#REF!</definedName>
    <definedName name="CE_4">#REF!</definedName>
    <definedName name="CE_5" localSheetId="3">#REF!</definedName>
    <definedName name="CE_5">#REF!</definedName>
    <definedName name="CE_6" localSheetId="3">#REF!</definedName>
    <definedName name="CE_6">#REF!</definedName>
    <definedName name="CE_7" localSheetId="3">#REF!</definedName>
    <definedName name="CE_7">#REF!</definedName>
    <definedName name="_xlnm.Print_Area" localSheetId="3">Basisdaten!$A$31:$AB$73</definedName>
    <definedName name="_xlnm.Print_Area" localSheetId="0">HINWEISE!$A$1:$F$49</definedName>
    <definedName name="_xlnm.Print_Area" localSheetId="1">'UFK-Garantie'!$B$1:$I$82,'UFK-Garantie'!$AE$26:$AG$60</definedName>
    <definedName name="_xlnm.Print_Area" localSheetId="2">Verbriefungsgarantie!$A$1:$K$44</definedName>
    <definedName name="_xlnm.Print_Titles" localSheetId="1">'UFK-Garantie'!$1:$10</definedName>
    <definedName name="_xlnm.Print_Titles" localSheetId="2">Verbriefungsgarantie!$1:$11</definedName>
    <definedName name="Entgeltbetrag">'[2]UFK-Entgelt'!$D$45</definedName>
    <definedName name="Entgeltsatz">'[2]UFK-Entgelt'!$D$44</definedName>
    <definedName name="FLZ">#REF!</definedName>
    <definedName name="Fremdwährung_Auswahl">[2]DEVELOPER!$A$69</definedName>
    <definedName name="Fremdwährung_Zuschlagssatz">[2]DEVELOPER!$B$69</definedName>
    <definedName name="HOR" localSheetId="3">Basisdaten!$F$38</definedName>
    <definedName name="HOR">Basisdaten!$F$38</definedName>
    <definedName name="HOR_ABR">Basisdaten!$W$93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Kreditbetrag">'[2]UFK-Entgelt'!$D$40</definedName>
    <definedName name="Länderkategorie">'[2]UFK-Entgelt'!$D$41</definedName>
    <definedName name="LCF" localSheetId="3">Basisdaten!$F$43</definedName>
    <definedName name="Monate_zwischen_Raten">[2]DEVELOPER!$D$16</definedName>
    <definedName name="PCCommercial" localSheetId="3">Basisdaten!$F$26</definedName>
    <definedName name="PCCommercial">Basisdaten!$F$26</definedName>
    <definedName name="PCPolitical" localSheetId="3">Basisdaten!$F$27</definedName>
    <definedName name="PCPolitical">Basisdaten!$F$27</definedName>
    <definedName name="Prämiensatz_CE_1">Basisdaten!$Y$122</definedName>
    <definedName name="Prämiensatz_CE_2">Basisdaten!$Y$157</definedName>
    <definedName name="Prämiensatz_CE_3">Basisdaten!$Y$181</definedName>
    <definedName name="Prämiensatz_CE_4">Basisdaten!$Y$205</definedName>
    <definedName name="Prämiensatz_CE_5">Basisdaten!$Y$229</definedName>
    <definedName name="Prämiensatz_CE_6">Basisdaten!$Y$253</definedName>
    <definedName name="Prämiensatz_CE_7">Basisdaten!$Y$277</definedName>
    <definedName name="Prämiensatz_neu_1">Basisdaten!$Y$118</definedName>
    <definedName name="Prämiensatz_neu_2">Basisdaten!$Y$153</definedName>
    <definedName name="Prämiensatz_neu_3">Basisdaten!$Y$177</definedName>
    <definedName name="Prämiensatz_neu_4">Basisdaten!$Y$201</definedName>
    <definedName name="Prämiensatz_neu_5">Basisdaten!$Y$225</definedName>
    <definedName name="Prämiensatz_neu_6">Basisdaten!$Y$249</definedName>
    <definedName name="Prämiensatz_neu_7">Basisdaten!$Y$273</definedName>
    <definedName name="Projektkategorie">'[2]UFK-Entgelt'!$D$42</definedName>
    <definedName name="Raten_p.a.">[2]DEVELOPER!$D$15</definedName>
    <definedName name="RLZ" localSheetId="3">Basisdaten!$F$37</definedName>
    <definedName name="RLZ" localSheetId="2">[2]DEVELOPER!$D$17</definedName>
    <definedName name="RLZ">Basisdaten!$F$37</definedName>
    <definedName name="RLZ_ABR">Basisdaten!$Y$291</definedName>
    <definedName name="RLZ_NichtStandard">'[2]UFK-Entgelt'!$N$247</definedName>
    <definedName name="RLZ_Standard">'[2]UFK-Entgelt'!$W$137</definedName>
    <definedName name="RLZ_Verbriefung">Verbriefungsgarantie!$E$21</definedName>
    <definedName name="Rückzahlung_in_Jahren">[2]DEVELOPER!$H$8</definedName>
    <definedName name="Rückzahlung_in_Monaten">[2]DEVELOPER!$H$9</definedName>
    <definedName name="Rückzahlungszeitraum">'[2]UFK-Entgelt'!$J$26</definedName>
    <definedName name="Summe_Tilgungen">'[2]UFK-Entgelt'!$M$27</definedName>
    <definedName name="Tilgungsprofil">[2]DEVELOPER!$C$5</definedName>
    <definedName name="Vorlaufzeit">'[2]UFK-Entgelt'!$E$28</definedName>
    <definedName name="Whg" localSheetId="2">[3]DBaseP!$D$1</definedName>
    <definedName name="Z_931C0A58_66B0_4AE9_A03B_01233C22F5B8_.wvu.Cols" localSheetId="2" hidden="1">Verbriefungsgarantie!$I:$M</definedName>
    <definedName name="Z_931C0A58_66B0_4AE9_A03B_01233C22F5B8_.wvu.PrintArea" localSheetId="2" hidden="1">Verbriefungsgarantie!$A$11:$G$42</definedName>
    <definedName name="Z_C798F9DC_8C66_4C7B_B521_CB959D9721F2_.wvu.PrintArea" localSheetId="3" hidden="1">Basisdaten!$A$31:$AB$73</definedName>
    <definedName name="Z_C798F9DC_8C66_4C7B_B521_CB959D9721F2_.wvu.PrintArea" localSheetId="0" hidden="1">HINWEISE!$A$1:$F$43</definedName>
    <definedName name="Z_C798F9DC_8C66_4C7B_B521_CB959D9721F2_.wvu.PrintArea" localSheetId="1" hidden="1">'UFK-Garantie'!$D$1:$H$68,'UFK-Garantie'!$AE$26:$AK$134</definedName>
    <definedName name="Z_C798F9DC_8C66_4C7B_B521_CB959D9721F2_.wvu.PrintTitles" localSheetId="1" hidden="1">'UFK-Garantie'!$1:$10</definedName>
  </definedNames>
  <calcPr calcId="162913"/>
  <customWorkbookViews>
    <customWorkbookView name="full" guid="{C798F9DC-8C66-4C7B-B521-CB959D9721F2}" includeHiddenRowCol="0" maximized="1" windowWidth="1676" windowHeight="778" activeSheetId="15"/>
    <customWorkbookView name="blank" guid="{931C0A58-66B0-4AE9-A03B-01233C22F5B8}" maximized="1" windowWidth="1276" windowHeight="693" activeSheetId="9"/>
    <customWorkbookView name="blank 2" guid="{10D6F4A4-8D07-4662-9691-2562D507B39B}" includePrintSettings="0" includeHiddenRowCol="0" maximized="1" windowWidth="1276" windowHeight="693" activeSheetId="9"/>
  </customWorkbookViews>
</workbook>
</file>

<file path=xl/calcChain.xml><?xml version="1.0" encoding="utf-8"?>
<calcChain xmlns="http://schemas.openxmlformats.org/spreadsheetml/2006/main">
  <c r="R67" i="14" l="1"/>
  <c r="R68" i="14"/>
  <c r="R69" i="14"/>
  <c r="R70" i="14"/>
  <c r="R71" i="14"/>
  <c r="R72" i="14"/>
  <c r="R73" i="14"/>
  <c r="R74" i="14"/>
  <c r="R75" i="14"/>
  <c r="R76" i="14"/>
  <c r="R77" i="14"/>
  <c r="R78" i="14"/>
  <c r="R79" i="14"/>
  <c r="R80" i="14"/>
  <c r="R81" i="14"/>
  <c r="R82" i="14"/>
  <c r="R83" i="14"/>
  <c r="R84" i="14"/>
  <c r="R85" i="14"/>
  <c r="R86" i="14"/>
  <c r="R87" i="14"/>
  <c r="R88" i="14"/>
  <c r="R89" i="14"/>
  <c r="R90" i="14"/>
  <c r="R91" i="14"/>
  <c r="R92" i="14"/>
  <c r="R93" i="14"/>
  <c r="R94" i="14"/>
  <c r="R95" i="14"/>
  <c r="R96" i="14"/>
  <c r="R97" i="14"/>
  <c r="R98" i="14"/>
  <c r="R99" i="14"/>
  <c r="R100" i="14"/>
  <c r="R101" i="14"/>
  <c r="R102" i="14"/>
  <c r="R103" i="14"/>
  <c r="R104" i="14"/>
  <c r="R105" i="14"/>
  <c r="R106" i="14"/>
  <c r="R107" i="14"/>
  <c r="R108" i="14"/>
  <c r="R109" i="14"/>
  <c r="R110" i="14"/>
  <c r="R111" i="14"/>
  <c r="R112" i="14"/>
  <c r="R113" i="14"/>
  <c r="R114" i="14"/>
  <c r="R115" i="14"/>
  <c r="R116" i="14"/>
  <c r="R117" i="14"/>
  <c r="R118" i="14"/>
  <c r="R119" i="14"/>
  <c r="R120" i="14"/>
  <c r="R121" i="14"/>
  <c r="R122" i="14"/>
  <c r="R123" i="14"/>
  <c r="R124" i="14"/>
  <c r="R125" i="14"/>
  <c r="R126" i="14"/>
  <c r="R127" i="14"/>
  <c r="R128" i="14"/>
  <c r="R129" i="14"/>
  <c r="R130" i="14"/>
  <c r="R131" i="14"/>
  <c r="R132" i="14"/>
  <c r="R133" i="14"/>
  <c r="R134" i="14"/>
  <c r="R135" i="14"/>
  <c r="R136" i="14"/>
  <c r="R137" i="14"/>
  <c r="R138" i="14"/>
  <c r="R139" i="14"/>
  <c r="R140" i="14"/>
  <c r="R141" i="14"/>
  <c r="R142" i="14"/>
  <c r="R143" i="14"/>
  <c r="R144" i="14"/>
  <c r="R145" i="14"/>
  <c r="R146" i="14"/>
  <c r="R147" i="14"/>
  <c r="R148" i="14"/>
  <c r="R149" i="14"/>
  <c r="R150" i="14"/>
  <c r="R151" i="14"/>
  <c r="R152" i="14"/>
  <c r="R153" i="14"/>
  <c r="R154" i="14"/>
  <c r="R155" i="14"/>
  <c r="R156" i="14"/>
  <c r="R157" i="14"/>
  <c r="R158" i="14"/>
  <c r="R159" i="14"/>
  <c r="R160" i="14"/>
  <c r="R161" i="14"/>
  <c r="R162" i="14"/>
  <c r="R163" i="14"/>
  <c r="R164" i="14"/>
  <c r="R165" i="14"/>
  <c r="R166" i="14"/>
  <c r="R167" i="14"/>
  <c r="R168" i="14"/>
  <c r="R169" i="14"/>
  <c r="R170" i="14"/>
  <c r="R171" i="14"/>
  <c r="R172" i="14"/>
  <c r="R173" i="14"/>
  <c r="R174" i="14"/>
  <c r="R175" i="14"/>
  <c r="R176" i="14"/>
  <c r="R177" i="14"/>
  <c r="R178" i="14"/>
  <c r="R179" i="14"/>
  <c r="R180" i="14"/>
  <c r="R181" i="14"/>
  <c r="R182" i="14"/>
  <c r="R183" i="14"/>
  <c r="R184" i="14"/>
  <c r="R185" i="14"/>
  <c r="R186" i="14"/>
  <c r="R187" i="14"/>
  <c r="R188" i="14"/>
  <c r="R189" i="14"/>
  <c r="R190" i="14"/>
  <c r="R191" i="14"/>
  <c r="R192" i="14"/>
  <c r="R193" i="14"/>
  <c r="R194" i="14"/>
  <c r="R195" i="14"/>
  <c r="R196" i="14"/>
  <c r="R197" i="14"/>
  <c r="R198" i="14"/>
  <c r="R199" i="14"/>
  <c r="R200" i="14"/>
  <c r="R201" i="14"/>
  <c r="R202" i="14"/>
  <c r="R203" i="14"/>
  <c r="R204" i="14"/>
  <c r="R205" i="14"/>
  <c r="R206" i="14"/>
  <c r="R207" i="14"/>
  <c r="R208" i="14"/>
  <c r="R209" i="14"/>
  <c r="R210" i="14"/>
  <c r="R211" i="14"/>
  <c r="R212" i="14"/>
  <c r="R213" i="14"/>
  <c r="R214" i="14"/>
  <c r="R215" i="14"/>
  <c r="R216" i="14"/>
  <c r="R217" i="14"/>
  <c r="R218" i="14"/>
  <c r="R219" i="14"/>
  <c r="R220" i="14"/>
  <c r="R221" i="14"/>
  <c r="R222" i="14"/>
  <c r="R223" i="14"/>
  <c r="R224" i="14"/>
  <c r="R225" i="14"/>
  <c r="R226" i="14"/>
  <c r="R227" i="14"/>
  <c r="R228" i="14"/>
  <c r="R229" i="14"/>
  <c r="R230" i="14"/>
  <c r="R231" i="14"/>
  <c r="R232" i="14"/>
  <c r="R233" i="14"/>
  <c r="R234" i="14"/>
  <c r="R235" i="14"/>
  <c r="R236" i="14"/>
  <c r="R237" i="14"/>
  <c r="R238" i="14"/>
  <c r="R239" i="14"/>
  <c r="R240" i="14"/>
  <c r="R48" i="14"/>
  <c r="R49" i="14"/>
  <c r="R50" i="14"/>
  <c r="R51" i="14"/>
  <c r="R52" i="14"/>
  <c r="R53" i="14"/>
  <c r="R54" i="14"/>
  <c r="R55" i="14"/>
  <c r="R56" i="14"/>
  <c r="R57" i="14"/>
  <c r="R58" i="14"/>
  <c r="R59" i="14"/>
  <c r="R60" i="14"/>
  <c r="R61" i="14"/>
  <c r="R62" i="14"/>
  <c r="R63" i="14"/>
  <c r="R64" i="14"/>
  <c r="R65" i="14"/>
  <c r="R66" i="14"/>
  <c r="R32" i="14"/>
  <c r="R33" i="14"/>
  <c r="R34" i="14"/>
  <c r="R35" i="14"/>
  <c r="R36" i="14"/>
  <c r="R37" i="14"/>
  <c r="R38" i="14"/>
  <c r="R39" i="14"/>
  <c r="R40" i="14"/>
  <c r="R41" i="14"/>
  <c r="R42" i="14"/>
  <c r="R43" i="14"/>
  <c r="R44" i="14"/>
  <c r="R45" i="14"/>
  <c r="R46" i="14"/>
  <c r="R47" i="14"/>
  <c r="F39" i="14" l="1"/>
  <c r="G56" i="14" l="1"/>
  <c r="M88" i="16"/>
  <c r="F43" i="14"/>
  <c r="F44" i="14"/>
  <c r="E27" i="19" l="1"/>
  <c r="E28" i="19" s="1"/>
  <c r="E29" i="19" s="1"/>
  <c r="E21" i="19"/>
  <c r="E22" i="19" s="1"/>
  <c r="E23" i="19" s="1"/>
  <c r="C24" i="19" l="1"/>
  <c r="J41" i="14"/>
  <c r="U291" i="16" l="1"/>
  <c r="K292" i="16"/>
  <c r="X88" i="16" l="1"/>
  <c r="X92" i="16" s="1"/>
  <c r="W88" i="16" l="1"/>
  <c r="W89" i="16" s="1"/>
  <c r="X292" i="16"/>
  <c r="X295" i="16" s="1"/>
  <c r="X299" i="16" s="1"/>
  <c r="W92" i="16" l="1"/>
  <c r="X291" i="16"/>
  <c r="W295" i="16" s="1"/>
  <c r="W299" i="16" l="1"/>
  <c r="W296" i="16"/>
  <c r="W93" i="16" l="1"/>
  <c r="Y291" i="16"/>
  <c r="U70" i="14" l="1"/>
  <c r="U71" i="14"/>
  <c r="U72" i="14"/>
  <c r="R31" i="14" l="1"/>
  <c r="S24" i="14" l="1"/>
  <c r="R23" i="14"/>
  <c r="N102" i="16" l="1"/>
  <c r="N100" i="16"/>
  <c r="L89" i="14" l="1"/>
  <c r="L88" i="14"/>
  <c r="L52" i="14"/>
  <c r="L54" i="14"/>
  <c r="K29" i="14"/>
  <c r="Q29" i="14"/>
  <c r="Q30" i="14"/>
  <c r="Y30" i="14" s="1"/>
  <c r="AG30" i="14" s="1"/>
  <c r="F34" i="16"/>
  <c r="X64" i="16" s="1"/>
  <c r="X47" i="16" s="1"/>
  <c r="X51" i="16" s="1"/>
  <c r="F32" i="16"/>
  <c r="X63" i="16" s="1"/>
  <c r="F41" i="16"/>
  <c r="G58" i="14" s="1"/>
  <c r="X150" i="16"/>
  <c r="X153" i="16" s="1"/>
  <c r="X149" i="16"/>
  <c r="W153" i="16" s="1"/>
  <c r="X115" i="16"/>
  <c r="X118" i="16" s="1"/>
  <c r="X124" i="16" s="1"/>
  <c r="X114" i="16"/>
  <c r="W118" i="16" s="1"/>
  <c r="W119" i="16" s="1"/>
  <c r="X270" i="16"/>
  <c r="X273" i="16" s="1"/>
  <c r="X269" i="16"/>
  <c r="W273" i="16" s="1"/>
  <c r="W274" i="16" s="1"/>
  <c r="M101" i="16"/>
  <c r="X246" i="16"/>
  <c r="X249" i="16" s="1"/>
  <c r="X245" i="16"/>
  <c r="W249" i="16" s="1"/>
  <c r="W250" i="16" s="1"/>
  <c r="U246" i="16"/>
  <c r="W252" i="16" s="1"/>
  <c r="X222" i="16"/>
  <c r="X225" i="16" s="1"/>
  <c r="X221" i="16"/>
  <c r="W225" i="16" s="1"/>
  <c r="W226" i="16" s="1"/>
  <c r="U222" i="16"/>
  <c r="W228" i="16" s="1"/>
  <c r="X198" i="16"/>
  <c r="X201" i="16" s="1"/>
  <c r="X197" i="16"/>
  <c r="W201" i="16" s="1"/>
  <c r="W202" i="16" s="1"/>
  <c r="U198" i="16"/>
  <c r="W204" i="16" s="1"/>
  <c r="X174" i="16"/>
  <c r="X177" i="16" s="1"/>
  <c r="X173" i="16"/>
  <c r="W177" i="16" s="1"/>
  <c r="W178" i="16" s="1"/>
  <c r="U174" i="16"/>
  <c r="W180" i="16" s="1"/>
  <c r="N103" i="16"/>
  <c r="M104" i="16"/>
  <c r="M293" i="16" s="1"/>
  <c r="O26" i="16"/>
  <c r="O28" i="16"/>
  <c r="W33" i="16" s="1"/>
  <c r="M26" i="16"/>
  <c r="M28" i="16"/>
  <c r="S26" i="16"/>
  <c r="S28" i="16"/>
  <c r="AA39" i="16" s="1"/>
  <c r="R26" i="16"/>
  <c r="R28" i="16"/>
  <c r="Z38" i="16" s="1"/>
  <c r="Q26" i="16"/>
  <c r="Q28" i="16"/>
  <c r="Y40" i="16" s="1"/>
  <c r="P26" i="16"/>
  <c r="P28" i="16"/>
  <c r="X42" i="16" s="1"/>
  <c r="N26" i="16"/>
  <c r="N28" i="16"/>
  <c r="V39" i="16" s="1"/>
  <c r="N38" i="16"/>
  <c r="O38" i="16"/>
  <c r="P38" i="16"/>
  <c r="Q38" i="16"/>
  <c r="Y38" i="16" s="1"/>
  <c r="R38" i="16"/>
  <c r="M38" i="16"/>
  <c r="U38" i="16" s="1"/>
  <c r="M106" i="16"/>
  <c r="M295" i="16" s="1"/>
  <c r="F35" i="16"/>
  <c r="U101" i="16"/>
  <c r="U106" i="16"/>
  <c r="Q295" i="16" s="1"/>
  <c r="V103" i="16"/>
  <c r="S104" i="16"/>
  <c r="P293" i="16" s="1"/>
  <c r="S101" i="16"/>
  <c r="T103" i="16"/>
  <c r="Y101" i="16"/>
  <c r="Z103" i="16"/>
  <c r="W101" i="16"/>
  <c r="X103" i="16"/>
  <c r="S108" i="16"/>
  <c r="P297" i="16" s="1"/>
  <c r="M108" i="16"/>
  <c r="M297" i="16" s="1"/>
  <c r="O101" i="16"/>
  <c r="P102" i="16"/>
  <c r="Q101" i="16"/>
  <c r="R102" i="16"/>
  <c r="T102" i="16"/>
  <c r="V102" i="16"/>
  <c r="X102" i="16"/>
  <c r="Z102" i="16"/>
  <c r="O100" i="16"/>
  <c r="P100" i="16"/>
  <c r="R100" i="16"/>
  <c r="T100" i="16"/>
  <c r="V100" i="16"/>
  <c r="W100" i="16"/>
  <c r="R300" i="16" s="1"/>
  <c r="X100" i="16"/>
  <c r="Z100" i="16"/>
  <c r="U104" i="16"/>
  <c r="Q293" i="16" s="1"/>
  <c r="Q131" i="16"/>
  <c r="Q307" i="16" s="1"/>
  <c r="R131" i="16"/>
  <c r="R307" i="16" s="1"/>
  <c r="S131" i="16"/>
  <c r="S307" i="16" s="1"/>
  <c r="O108" i="16"/>
  <c r="N297" i="16" s="1"/>
  <c r="Q108" i="16"/>
  <c r="O297" i="16" s="1"/>
  <c r="X307" i="16"/>
  <c r="Y307" i="16"/>
  <c r="Z307" i="16"/>
  <c r="O103" i="16"/>
  <c r="P103" i="16"/>
  <c r="M105" i="16"/>
  <c r="M294" i="16" s="1"/>
  <c r="M107" i="16"/>
  <c r="M296" i="16" s="1"/>
  <c r="O104" i="16"/>
  <c r="N293" i="16" s="1"/>
  <c r="Q104" i="16"/>
  <c r="O293" i="16" s="1"/>
  <c r="R103" i="16"/>
  <c r="W104" i="16"/>
  <c r="R293" i="16" s="1"/>
  <c r="Y104" i="16"/>
  <c r="S293" i="16" s="1"/>
  <c r="O105" i="16"/>
  <c r="N294" i="16" s="1"/>
  <c r="Q105" i="16"/>
  <c r="O294" i="16" s="1"/>
  <c r="S105" i="16"/>
  <c r="P294" i="16" s="1"/>
  <c r="U105" i="16"/>
  <c r="Q294" i="16" s="1"/>
  <c r="W105" i="16"/>
  <c r="R294" i="16" s="1"/>
  <c r="Y105" i="16"/>
  <c r="S294" i="16" s="1"/>
  <c r="O106" i="16"/>
  <c r="N295" i="16" s="1"/>
  <c r="Q106" i="16"/>
  <c r="O295" i="16" s="1"/>
  <c r="S106" i="16"/>
  <c r="P295" i="16" s="1"/>
  <c r="W106" i="16"/>
  <c r="R295" i="16" s="1"/>
  <c r="Z305" i="16"/>
  <c r="O107" i="16"/>
  <c r="N296" i="16" s="1"/>
  <c r="Q107" i="16"/>
  <c r="O296" i="16" s="1"/>
  <c r="S107" i="16"/>
  <c r="P296" i="16" s="1"/>
  <c r="U107" i="16"/>
  <c r="Q296" i="16" s="1"/>
  <c r="Y306" i="16"/>
  <c r="Z306" i="16"/>
  <c r="S129" i="16"/>
  <c r="S305" i="16" s="1"/>
  <c r="R130" i="16"/>
  <c r="R306" i="16" s="1"/>
  <c r="S130" i="16"/>
  <c r="S306" i="16" s="1"/>
  <c r="Z30" i="16"/>
  <c r="K31" i="16"/>
  <c r="U40" i="16"/>
  <c r="K76" i="16"/>
  <c r="W78" i="16"/>
  <c r="K126" i="16"/>
  <c r="K150" i="16" s="1"/>
  <c r="K174" i="16" s="1"/>
  <c r="U150" i="16"/>
  <c r="W156" i="16" s="1"/>
  <c r="K161" i="16"/>
  <c r="K185" i="16" s="1"/>
  <c r="K209" i="16" s="1"/>
  <c r="K233" i="16" s="1"/>
  <c r="K257" i="16" s="1"/>
  <c r="K281" i="16" s="1"/>
  <c r="K198" i="16"/>
  <c r="K222" i="16"/>
  <c r="K246" i="16"/>
  <c r="K270" i="16"/>
  <c r="O326" i="16"/>
  <c r="S241" i="14"/>
  <c r="U30" i="14"/>
  <c r="U31" i="14"/>
  <c r="U32" i="14"/>
  <c r="U33" i="14"/>
  <c r="U34" i="14"/>
  <c r="U35" i="14"/>
  <c r="U36" i="14"/>
  <c r="U37" i="14"/>
  <c r="U38" i="14"/>
  <c r="U39" i="14"/>
  <c r="U40" i="14"/>
  <c r="U41" i="14"/>
  <c r="U42" i="14"/>
  <c r="U43" i="14"/>
  <c r="U44" i="14"/>
  <c r="U45" i="14"/>
  <c r="U46" i="14"/>
  <c r="U47" i="14"/>
  <c r="U48" i="14"/>
  <c r="U49" i="14"/>
  <c r="U50" i="14"/>
  <c r="U51" i="14"/>
  <c r="U52" i="14"/>
  <c r="U53" i="14"/>
  <c r="U54" i="14"/>
  <c r="U55" i="14"/>
  <c r="U56" i="14"/>
  <c r="U57" i="14"/>
  <c r="U58" i="14"/>
  <c r="U59" i="14"/>
  <c r="U60" i="14"/>
  <c r="U61" i="14"/>
  <c r="U62" i="14"/>
  <c r="U63" i="14"/>
  <c r="U64" i="14"/>
  <c r="U65" i="14"/>
  <c r="U66" i="14"/>
  <c r="U67" i="14"/>
  <c r="U68" i="14"/>
  <c r="U69" i="14"/>
  <c r="U73" i="14"/>
  <c r="U74" i="14"/>
  <c r="U75" i="14"/>
  <c r="U76" i="14"/>
  <c r="U77" i="14"/>
  <c r="U78" i="14"/>
  <c r="U79" i="14"/>
  <c r="U80" i="14"/>
  <c r="U81" i="14"/>
  <c r="U82" i="14"/>
  <c r="U83" i="14"/>
  <c r="U84" i="14"/>
  <c r="U85" i="14"/>
  <c r="U86" i="14"/>
  <c r="U87" i="14"/>
  <c r="U88" i="14"/>
  <c r="U89" i="14"/>
  <c r="U90" i="14"/>
  <c r="U91" i="14"/>
  <c r="U92" i="14"/>
  <c r="U93" i="14"/>
  <c r="U94" i="14"/>
  <c r="U95" i="14"/>
  <c r="U96" i="14"/>
  <c r="U97" i="14"/>
  <c r="U98" i="14"/>
  <c r="U99" i="14"/>
  <c r="U100" i="14"/>
  <c r="U101" i="14"/>
  <c r="U102" i="14"/>
  <c r="U103" i="14"/>
  <c r="U104" i="14"/>
  <c r="U105" i="14"/>
  <c r="U106" i="14"/>
  <c r="U107" i="14"/>
  <c r="U108" i="14"/>
  <c r="U109" i="14"/>
  <c r="U110" i="14"/>
  <c r="U111" i="14"/>
  <c r="U112" i="14"/>
  <c r="U113" i="14"/>
  <c r="U114" i="14"/>
  <c r="U115" i="14"/>
  <c r="U116" i="14"/>
  <c r="U117" i="14"/>
  <c r="U118" i="14"/>
  <c r="U119" i="14"/>
  <c r="U120" i="14"/>
  <c r="U121" i="14"/>
  <c r="U122" i="14"/>
  <c r="U123" i="14"/>
  <c r="U124" i="14"/>
  <c r="U125" i="14"/>
  <c r="U126" i="14"/>
  <c r="U127" i="14"/>
  <c r="U128" i="14"/>
  <c r="U129" i="14"/>
  <c r="U130" i="14"/>
  <c r="U131" i="14"/>
  <c r="U132" i="14"/>
  <c r="U133" i="14"/>
  <c r="U134" i="14"/>
  <c r="U135" i="14"/>
  <c r="U136" i="14"/>
  <c r="U137" i="14"/>
  <c r="U138" i="14"/>
  <c r="U139" i="14"/>
  <c r="U140" i="14"/>
  <c r="U141" i="14"/>
  <c r="U142" i="14"/>
  <c r="U143" i="14"/>
  <c r="U144" i="14"/>
  <c r="U145" i="14"/>
  <c r="U146" i="14"/>
  <c r="U147" i="14"/>
  <c r="U148" i="14"/>
  <c r="U149" i="14"/>
  <c r="U150" i="14"/>
  <c r="U151" i="14"/>
  <c r="U152" i="14"/>
  <c r="U153" i="14"/>
  <c r="U154" i="14"/>
  <c r="U155" i="14"/>
  <c r="U156" i="14"/>
  <c r="U157" i="14"/>
  <c r="U158" i="14"/>
  <c r="U159" i="14"/>
  <c r="U160" i="14"/>
  <c r="U161" i="14"/>
  <c r="U162" i="14"/>
  <c r="U163" i="14"/>
  <c r="U164" i="14"/>
  <c r="U165" i="14"/>
  <c r="U166" i="14"/>
  <c r="U167" i="14"/>
  <c r="U168" i="14"/>
  <c r="U169" i="14"/>
  <c r="U170" i="14"/>
  <c r="U171" i="14"/>
  <c r="U172" i="14"/>
  <c r="U173" i="14"/>
  <c r="U174" i="14"/>
  <c r="U175" i="14"/>
  <c r="U176" i="14"/>
  <c r="U177" i="14"/>
  <c r="U178" i="14"/>
  <c r="U179" i="14"/>
  <c r="U180" i="14"/>
  <c r="U181" i="14"/>
  <c r="U182" i="14"/>
  <c r="U183" i="14"/>
  <c r="U184" i="14"/>
  <c r="U185" i="14"/>
  <c r="U186" i="14"/>
  <c r="U187" i="14"/>
  <c r="U188" i="14"/>
  <c r="U189" i="14"/>
  <c r="U190" i="14"/>
  <c r="U191" i="14"/>
  <c r="U192" i="14"/>
  <c r="U193" i="14"/>
  <c r="U194" i="14"/>
  <c r="U195" i="14"/>
  <c r="U196" i="14"/>
  <c r="U197" i="14"/>
  <c r="U198" i="14"/>
  <c r="U199" i="14"/>
  <c r="U200" i="14"/>
  <c r="U201" i="14"/>
  <c r="U202" i="14"/>
  <c r="U203" i="14"/>
  <c r="U204" i="14"/>
  <c r="U205" i="14"/>
  <c r="U206" i="14"/>
  <c r="U207" i="14"/>
  <c r="U208" i="14"/>
  <c r="U209" i="14"/>
  <c r="U210" i="14"/>
  <c r="U211" i="14"/>
  <c r="U212" i="14"/>
  <c r="U213" i="14"/>
  <c r="U214" i="14"/>
  <c r="U215" i="14"/>
  <c r="U216" i="14"/>
  <c r="U217" i="14"/>
  <c r="U218" i="14"/>
  <c r="U219" i="14"/>
  <c r="U220" i="14"/>
  <c r="U221" i="14"/>
  <c r="U222" i="14"/>
  <c r="U223" i="14"/>
  <c r="U224" i="14"/>
  <c r="U225" i="14"/>
  <c r="U226" i="14"/>
  <c r="U227" i="14"/>
  <c r="U228" i="14"/>
  <c r="U229" i="14"/>
  <c r="U230" i="14"/>
  <c r="U231" i="14"/>
  <c r="U232" i="14"/>
  <c r="U233" i="14"/>
  <c r="U234" i="14"/>
  <c r="U235" i="14"/>
  <c r="U236" i="14"/>
  <c r="U237" i="14"/>
  <c r="U238" i="14"/>
  <c r="U239" i="14"/>
  <c r="U240" i="14"/>
  <c r="S29" i="14"/>
  <c r="S25" i="14" s="1"/>
  <c r="AL29" i="14"/>
  <c r="E30" i="14"/>
  <c r="G30" i="14"/>
  <c r="F41" i="14"/>
  <c r="F42" i="14"/>
  <c r="F45" i="14"/>
  <c r="F46" i="14"/>
  <c r="F47" i="14"/>
  <c r="F48" i="14"/>
  <c r="F49" i="14"/>
  <c r="G55" i="14"/>
  <c r="G59" i="14" s="1"/>
  <c r="S246" i="14"/>
  <c r="D50" i="14" l="1"/>
  <c r="F57" i="14"/>
  <c r="Q103" i="16"/>
  <c r="O298" i="16"/>
  <c r="O292" i="16"/>
  <c r="Y103" i="16"/>
  <c r="S298" i="16"/>
  <c r="S292" i="16"/>
  <c r="M100" i="16"/>
  <c r="M300" i="16" s="1"/>
  <c r="M298" i="16"/>
  <c r="Y295" i="16" s="1"/>
  <c r="M292" i="16"/>
  <c r="Y296" i="16" s="1"/>
  <c r="N300" i="16"/>
  <c r="O102" i="16"/>
  <c r="N299" i="16" s="1"/>
  <c r="N298" i="16"/>
  <c r="N292" i="16"/>
  <c r="W103" i="16"/>
  <c r="R298" i="16"/>
  <c r="R292" i="16"/>
  <c r="S103" i="16"/>
  <c r="P292" i="16"/>
  <c r="P298" i="16"/>
  <c r="U102" i="16"/>
  <c r="Q299" i="16" s="1"/>
  <c r="Q292" i="16"/>
  <c r="Q298" i="16"/>
  <c r="X33" i="16"/>
  <c r="P92" i="16" s="1"/>
  <c r="Z33" i="16"/>
  <c r="Z34" i="16" s="1"/>
  <c r="R95" i="16" s="1"/>
  <c r="U41" i="16"/>
  <c r="U270" i="16"/>
  <c r="W276" i="16" s="1"/>
  <c r="U292" i="16"/>
  <c r="W298" i="16" s="1"/>
  <c r="V42" i="16"/>
  <c r="Y37" i="16"/>
  <c r="Y42" i="16"/>
  <c r="AA38" i="16"/>
  <c r="W40" i="16"/>
  <c r="O90" i="16" s="1"/>
  <c r="AA40" i="16"/>
  <c r="X38" i="16"/>
  <c r="X43" i="16"/>
  <c r="Z40" i="16"/>
  <c r="Z39" i="16"/>
  <c r="U43" i="16"/>
  <c r="Z41" i="16"/>
  <c r="X40" i="16"/>
  <c r="X39" i="16"/>
  <c r="W38" i="16"/>
  <c r="W37" i="16"/>
  <c r="Y33" i="16"/>
  <c r="Q90" i="16" s="1"/>
  <c r="Z37" i="16"/>
  <c r="Y102" i="16"/>
  <c r="S299" i="16" s="1"/>
  <c r="M102" i="16"/>
  <c r="M299" i="16" s="1"/>
  <c r="W34" i="16"/>
  <c r="W32" i="16"/>
  <c r="Y41" i="16"/>
  <c r="V40" i="16"/>
  <c r="Y39" i="16"/>
  <c r="Q89" i="16" s="1"/>
  <c r="V38" i="16"/>
  <c r="W102" i="16"/>
  <c r="R299" i="16" s="1"/>
  <c r="S102" i="16"/>
  <c r="P299" i="16" s="1"/>
  <c r="W39" i="16"/>
  <c r="O89" i="16" s="1"/>
  <c r="AA33" i="16"/>
  <c r="S89" i="16" s="1"/>
  <c r="V37" i="16"/>
  <c r="Y36" i="16"/>
  <c r="AA36" i="16"/>
  <c r="W36" i="16"/>
  <c r="O96" i="16" s="1"/>
  <c r="W50" i="16"/>
  <c r="W91" i="16"/>
  <c r="V43" i="16"/>
  <c r="W42" i="16"/>
  <c r="O92" i="16" s="1"/>
  <c r="W41" i="16"/>
  <c r="O91" i="16" s="1"/>
  <c r="AA37" i="16"/>
  <c r="S100" i="16"/>
  <c r="P300" i="16" s="1"/>
  <c r="W43" i="16"/>
  <c r="O93" i="16" s="1"/>
  <c r="V36" i="16"/>
  <c r="U39" i="16"/>
  <c r="K28" i="14"/>
  <c r="K30" i="14" s="1"/>
  <c r="K34" i="14"/>
  <c r="K36" i="14" s="1"/>
  <c r="X122" i="16"/>
  <c r="M98" i="14"/>
  <c r="U241" i="14"/>
  <c r="T242" i="14" s="1"/>
  <c r="L19" i="14" s="1"/>
  <c r="L97" i="14"/>
  <c r="M89" i="14"/>
  <c r="L98" i="14"/>
  <c r="M88" i="14"/>
  <c r="L96" i="14"/>
  <c r="AK27" i="14"/>
  <c r="AC27" i="14"/>
  <c r="L93" i="14"/>
  <c r="U115" i="16"/>
  <c r="W121" i="16" s="1"/>
  <c r="W229" i="16"/>
  <c r="O317" i="16"/>
  <c r="X76" i="16"/>
  <c r="W47" i="16"/>
  <c r="X75" i="16"/>
  <c r="E54" i="14"/>
  <c r="Y27" i="14"/>
  <c r="AG27" i="14"/>
  <c r="X205" i="16"/>
  <c r="X209" i="16"/>
  <c r="W281" i="16"/>
  <c r="W277" i="16"/>
  <c r="W181" i="16"/>
  <c r="W124" i="16"/>
  <c r="W209" i="16"/>
  <c r="W205" i="16"/>
  <c r="W257" i="16"/>
  <c r="W185" i="16"/>
  <c r="W122" i="16"/>
  <c r="W253" i="16"/>
  <c r="W233" i="16"/>
  <c r="W154" i="16"/>
  <c r="W160" i="16"/>
  <c r="W157" i="16"/>
  <c r="X253" i="16"/>
  <c r="X257" i="16"/>
  <c r="X157" i="16"/>
  <c r="X160" i="16"/>
  <c r="X181" i="16"/>
  <c r="X185" i="16"/>
  <c r="X277" i="16"/>
  <c r="X281" i="16"/>
  <c r="X229" i="16"/>
  <c r="X233" i="16"/>
  <c r="Y100" i="16"/>
  <c r="S300" i="16" s="1"/>
  <c r="U100" i="16"/>
  <c r="Q300" i="16" s="1"/>
  <c r="U103" i="16"/>
  <c r="X37" i="16"/>
  <c r="X41" i="16"/>
  <c r="P91" i="16" s="1"/>
  <c r="U36" i="16"/>
  <c r="Z36" i="16"/>
  <c r="X36" i="16"/>
  <c r="M103" i="16"/>
  <c r="Q102" i="16"/>
  <c r="O299" i="16" s="1"/>
  <c r="Q100" i="16"/>
  <c r="O300" i="16" s="1"/>
  <c r="U42" i="16"/>
  <c r="U37" i="16"/>
  <c r="U33" i="16"/>
  <c r="M90" i="16" s="1"/>
  <c r="V33" i="16"/>
  <c r="N89" i="16" s="1"/>
  <c r="V41" i="16"/>
  <c r="M92" i="16" l="1"/>
  <c r="R91" i="16"/>
  <c r="X34" i="16"/>
  <c r="Z32" i="16"/>
  <c r="Q91" i="16"/>
  <c r="O95" i="16"/>
  <c r="N91" i="16"/>
  <c r="X32" i="16"/>
  <c r="P96" i="16" s="1"/>
  <c r="P89" i="16"/>
  <c r="P90" i="16"/>
  <c r="M89" i="16"/>
  <c r="N90" i="16"/>
  <c r="P93" i="16"/>
  <c r="P88" i="16"/>
  <c r="P94" i="16"/>
  <c r="N88" i="16"/>
  <c r="N94" i="16"/>
  <c r="M93" i="16"/>
  <c r="P95" i="16"/>
  <c r="Q92" i="16"/>
  <c r="Y297" i="16"/>
  <c r="Y298" i="16" s="1"/>
  <c r="Y299" i="16" s="1"/>
  <c r="R96" i="16"/>
  <c r="R88" i="16"/>
  <c r="R94" i="16"/>
  <c r="R89" i="16"/>
  <c r="S90" i="16"/>
  <c r="Q94" i="16"/>
  <c r="Q88" i="16"/>
  <c r="S88" i="16"/>
  <c r="S94" i="16"/>
  <c r="O88" i="16"/>
  <c r="O94" i="16"/>
  <c r="N93" i="16"/>
  <c r="S96" i="16"/>
  <c r="R90" i="16"/>
  <c r="N92" i="16"/>
  <c r="M91" i="16"/>
  <c r="Z292" i="16"/>
  <c r="M94" i="16"/>
  <c r="Y34" i="16"/>
  <c r="Q95" i="16" s="1"/>
  <c r="Y32" i="16"/>
  <c r="Q96" i="16" s="1"/>
  <c r="AA32" i="16"/>
  <c r="AA34" i="16"/>
  <c r="S95" i="16" s="1"/>
  <c r="M97" i="14"/>
  <c r="S23" i="14"/>
  <c r="L95" i="14"/>
  <c r="L94" i="14" s="1"/>
  <c r="M93" i="14"/>
  <c r="M96" i="14"/>
  <c r="W48" i="16"/>
  <c r="W51" i="16"/>
  <c r="W31" i="14"/>
  <c r="K31" i="14"/>
  <c r="X30" i="14" s="1"/>
  <c r="Z30" i="14" s="1"/>
  <c r="AE30" i="14"/>
  <c r="H29" i="14"/>
  <c r="V32" i="16"/>
  <c r="N96" i="16" s="1"/>
  <c r="V34" i="16"/>
  <c r="N95" i="16" s="1"/>
  <c r="U34" i="16"/>
  <c r="M95" i="16" s="1"/>
  <c r="U32" i="16"/>
  <c r="M96" i="16" s="1"/>
  <c r="AF30" i="14" l="1"/>
  <c r="M95" i="14"/>
  <c r="M92" i="14" s="1"/>
  <c r="L92" i="14"/>
  <c r="L90" i="14" s="1"/>
  <c r="K32" i="14"/>
  <c r="F31" i="14"/>
  <c r="AE31" i="14"/>
  <c r="X31" i="14"/>
  <c r="W32" i="14"/>
  <c r="M94" i="14" l="1"/>
  <c r="X32" i="14"/>
  <c r="W33" i="14"/>
  <c r="AE32" i="14"/>
  <c r="Y31" i="14"/>
  <c r="AG31" i="14" s="1"/>
  <c r="M90" i="14" l="1"/>
  <c r="E29" i="14" s="1"/>
  <c r="Z31" i="14"/>
  <c r="Y32" i="14"/>
  <c r="AE33" i="14"/>
  <c r="W34" i="14"/>
  <c r="X33" i="14"/>
  <c r="H27" i="14" l="1"/>
  <c r="L18" i="14"/>
  <c r="Y33" i="14"/>
  <c r="AG33" i="14" s="1"/>
  <c r="Y197" i="16"/>
  <c r="Y221" i="16"/>
  <c r="Y245" i="16"/>
  <c r="Y173" i="16"/>
  <c r="Y114" i="16"/>
  <c r="Y269" i="16"/>
  <c r="Y149" i="16"/>
  <c r="AG32" i="14"/>
  <c r="Z32" i="14"/>
  <c r="AE34" i="14"/>
  <c r="W35" i="14"/>
  <c r="X34" i="14"/>
  <c r="Y34" i="14" s="1"/>
  <c r="AG34" i="14" s="1"/>
  <c r="K33" i="14" l="1"/>
  <c r="K35" i="14" s="1"/>
  <c r="T244" i="14"/>
  <c r="Z33" i="14"/>
  <c r="O158" i="16"/>
  <c r="O169" i="16" s="1"/>
  <c r="M150" i="16"/>
  <c r="M165" i="16" s="1"/>
  <c r="R161" i="16"/>
  <c r="R164" i="16" s="1"/>
  <c r="Q151" i="16"/>
  <c r="P153" i="16"/>
  <c r="M161" i="16"/>
  <c r="S161" i="16"/>
  <c r="S162" i="16" s="1"/>
  <c r="P155" i="16"/>
  <c r="N157" i="16"/>
  <c r="N168" i="16" s="1"/>
  <c r="S151" i="16"/>
  <c r="Q158" i="16"/>
  <c r="Q169" i="16" s="1"/>
  <c r="Q153" i="16"/>
  <c r="N150" i="16"/>
  <c r="N166" i="16" s="1"/>
  <c r="O155" i="16"/>
  <c r="R156" i="16"/>
  <c r="R167" i="16" s="1"/>
  <c r="O150" i="16"/>
  <c r="O166" i="16" s="1"/>
  <c r="R158" i="16"/>
  <c r="R169" i="16" s="1"/>
  <c r="Q156" i="16"/>
  <c r="Q167" i="16" s="1"/>
  <c r="N155" i="16"/>
  <c r="N161" i="16"/>
  <c r="N164" i="16" s="1"/>
  <c r="M155" i="16"/>
  <c r="O161" i="16"/>
  <c r="O163" i="16" s="1"/>
  <c r="N151" i="16"/>
  <c r="R157" i="16"/>
  <c r="R168" i="16" s="1"/>
  <c r="Q150" i="16"/>
  <c r="M151" i="16"/>
  <c r="Q154" i="16"/>
  <c r="P157" i="16"/>
  <c r="P168" i="16" s="1"/>
  <c r="M152" i="16"/>
  <c r="M157" i="16"/>
  <c r="M168" i="16" s="1"/>
  <c r="O152" i="16"/>
  <c r="R152" i="16"/>
  <c r="N156" i="16"/>
  <c r="N167" i="16" s="1"/>
  <c r="S156" i="16"/>
  <c r="S167" i="16" s="1"/>
  <c r="O151" i="16"/>
  <c r="S150" i="16"/>
  <c r="S157" i="16"/>
  <c r="S168" i="16" s="1"/>
  <c r="P151" i="16"/>
  <c r="Q152" i="16"/>
  <c r="P156" i="16"/>
  <c r="P167" i="16" s="1"/>
  <c r="N152" i="16"/>
  <c r="P161" i="16"/>
  <c r="P163" i="16" s="1"/>
  <c r="M158" i="16"/>
  <c r="M169" i="16" s="1"/>
  <c r="P150" i="16"/>
  <c r="P166" i="16" s="1"/>
  <c r="R150" i="16"/>
  <c r="P152" i="16"/>
  <c r="Q157" i="16"/>
  <c r="Q168" i="16" s="1"/>
  <c r="O154" i="16"/>
  <c r="M153" i="16"/>
  <c r="P158" i="16"/>
  <c r="P169" i="16" s="1"/>
  <c r="O156" i="16"/>
  <c r="O167" i="16" s="1"/>
  <c r="O157" i="16"/>
  <c r="O168" i="16" s="1"/>
  <c r="N154" i="16"/>
  <c r="O153" i="16"/>
  <c r="S152" i="16"/>
  <c r="R153" i="16"/>
  <c r="N158" i="16"/>
  <c r="N169" i="16" s="1"/>
  <c r="P154" i="16"/>
  <c r="S158" i="16"/>
  <c r="S169" i="16" s="1"/>
  <c r="N153" i="16"/>
  <c r="M156" i="16"/>
  <c r="Q161" i="16"/>
  <c r="Q163" i="16" s="1"/>
  <c r="M154" i="16"/>
  <c r="R151" i="16"/>
  <c r="S278" i="16"/>
  <c r="S289" i="16" s="1"/>
  <c r="R277" i="16"/>
  <c r="R288" i="16" s="1"/>
  <c r="Q277" i="16"/>
  <c r="Q288" i="16" s="1"/>
  <c r="S271" i="16"/>
  <c r="P275" i="16"/>
  <c r="Q276" i="16"/>
  <c r="Q287" i="16" s="1"/>
  <c r="N274" i="16"/>
  <c r="M278" i="16"/>
  <c r="M289" i="16" s="1"/>
  <c r="O270" i="16"/>
  <c r="R272" i="16"/>
  <c r="R281" i="16"/>
  <c r="P270" i="16"/>
  <c r="S270" i="16"/>
  <c r="N277" i="16"/>
  <c r="N288" i="16" s="1"/>
  <c r="Q271" i="16"/>
  <c r="M281" i="16"/>
  <c r="M286" i="16" s="1"/>
  <c r="R271" i="16"/>
  <c r="Q278" i="16"/>
  <c r="Q289" i="16" s="1"/>
  <c r="M270" i="16"/>
  <c r="O277" i="16"/>
  <c r="O288" i="16" s="1"/>
  <c r="M272" i="16"/>
  <c r="O275" i="16"/>
  <c r="N278" i="16"/>
  <c r="N289" i="16" s="1"/>
  <c r="N270" i="16"/>
  <c r="R276" i="16"/>
  <c r="R287" i="16" s="1"/>
  <c r="P274" i="16"/>
  <c r="Q272" i="16"/>
  <c r="O278" i="16"/>
  <c r="O289" i="16" s="1"/>
  <c r="N281" i="16"/>
  <c r="S272" i="16"/>
  <c r="Q274" i="16"/>
  <c r="M274" i="16"/>
  <c r="O281" i="16"/>
  <c r="N271" i="16"/>
  <c r="N273" i="16"/>
  <c r="M275" i="16"/>
  <c r="N275" i="16"/>
  <c r="O274" i="16"/>
  <c r="O273" i="16"/>
  <c r="R273" i="16"/>
  <c r="Q281" i="16"/>
  <c r="O271" i="16"/>
  <c r="S276" i="16"/>
  <c r="S287" i="16" s="1"/>
  <c r="O276" i="16"/>
  <c r="O287" i="16" s="1"/>
  <c r="M273" i="16"/>
  <c r="P273" i="16"/>
  <c r="Q273" i="16"/>
  <c r="M271" i="16"/>
  <c r="Q270" i="16"/>
  <c r="P281" i="16"/>
  <c r="R270" i="16"/>
  <c r="P276" i="16"/>
  <c r="P287" i="16" s="1"/>
  <c r="P271" i="16"/>
  <c r="N276" i="16"/>
  <c r="N287" i="16" s="1"/>
  <c r="R278" i="16"/>
  <c r="R289" i="16" s="1"/>
  <c r="S281" i="16"/>
  <c r="P278" i="16"/>
  <c r="P289" i="16" s="1"/>
  <c r="O272" i="16"/>
  <c r="S277" i="16"/>
  <c r="S288" i="16" s="1"/>
  <c r="M276" i="16"/>
  <c r="P277" i="16"/>
  <c r="P288" i="16" s="1"/>
  <c r="P272" i="16"/>
  <c r="M277" i="16"/>
  <c r="M288" i="16" s="1"/>
  <c r="N272" i="16"/>
  <c r="Q228" i="16"/>
  <c r="Q239" i="16" s="1"/>
  <c r="M227" i="16"/>
  <c r="O229" i="16"/>
  <c r="O240" i="16" s="1"/>
  <c r="N224" i="16"/>
  <c r="P228" i="16"/>
  <c r="P239" i="16" s="1"/>
  <c r="P226" i="16"/>
  <c r="P230" i="16"/>
  <c r="P241" i="16" s="1"/>
  <c r="Q226" i="16"/>
  <c r="S223" i="16"/>
  <c r="S222" i="16"/>
  <c r="O233" i="16"/>
  <c r="O224" i="16"/>
  <c r="Q223" i="16"/>
  <c r="M222" i="16"/>
  <c r="Q224" i="16"/>
  <c r="O227" i="16"/>
  <c r="N228" i="16"/>
  <c r="N239" i="16" s="1"/>
  <c r="M229" i="16"/>
  <c r="M240" i="16" s="1"/>
  <c r="O222" i="16"/>
  <c r="M230" i="16"/>
  <c r="M241" i="16" s="1"/>
  <c r="P223" i="16"/>
  <c r="N222" i="16"/>
  <c r="M233" i="16"/>
  <c r="P225" i="16"/>
  <c r="Q222" i="16"/>
  <c r="O228" i="16"/>
  <c r="O239" i="16" s="1"/>
  <c r="O230" i="16"/>
  <c r="O241" i="16" s="1"/>
  <c r="S228" i="16"/>
  <c r="S239" i="16" s="1"/>
  <c r="O225" i="16"/>
  <c r="Q230" i="16"/>
  <c r="Q241" i="16" s="1"/>
  <c r="S230" i="16"/>
  <c r="S241" i="16" s="1"/>
  <c r="R225" i="16"/>
  <c r="R230" i="16"/>
  <c r="R241" i="16" s="1"/>
  <c r="M224" i="16"/>
  <c r="S233" i="16"/>
  <c r="N225" i="16"/>
  <c r="P224" i="16"/>
  <c r="P229" i="16"/>
  <c r="P240" i="16" s="1"/>
  <c r="O226" i="16"/>
  <c r="O223" i="16"/>
  <c r="R229" i="16"/>
  <c r="R240" i="16" s="1"/>
  <c r="R228" i="16"/>
  <c r="R239" i="16" s="1"/>
  <c r="M228" i="16"/>
  <c r="P222" i="16"/>
  <c r="R224" i="16"/>
  <c r="N233" i="16"/>
  <c r="R233" i="16"/>
  <c r="N229" i="16"/>
  <c r="N240" i="16" s="1"/>
  <c r="P227" i="16"/>
  <c r="M226" i="16"/>
  <c r="S224" i="16"/>
  <c r="Q225" i="16"/>
  <c r="N226" i="16"/>
  <c r="N223" i="16"/>
  <c r="P233" i="16"/>
  <c r="Q233" i="16"/>
  <c r="Q229" i="16"/>
  <c r="Q240" i="16" s="1"/>
  <c r="R223" i="16"/>
  <c r="S229" i="16"/>
  <c r="S240" i="16" s="1"/>
  <c r="M223" i="16"/>
  <c r="M225" i="16"/>
  <c r="N227" i="16"/>
  <c r="R222" i="16"/>
  <c r="N230" i="16"/>
  <c r="N241" i="16" s="1"/>
  <c r="O182" i="16"/>
  <c r="O193" i="16" s="1"/>
  <c r="O181" i="16"/>
  <c r="O192" i="16" s="1"/>
  <c r="P181" i="16"/>
  <c r="P192" i="16" s="1"/>
  <c r="S185" i="16"/>
  <c r="S186" i="16" s="1"/>
  <c r="N174" i="16"/>
  <c r="N190" i="16" s="1"/>
  <c r="R177" i="16"/>
  <c r="S182" i="16"/>
  <c r="S193" i="16" s="1"/>
  <c r="Q175" i="16"/>
  <c r="O178" i="16"/>
  <c r="R176" i="16"/>
  <c r="M177" i="16"/>
  <c r="N178" i="16"/>
  <c r="P179" i="16"/>
  <c r="M181" i="16"/>
  <c r="M192" i="16" s="1"/>
  <c r="O179" i="16"/>
  <c r="M174" i="16"/>
  <c r="M190" i="16" s="1"/>
  <c r="O177" i="16"/>
  <c r="Q174" i="16"/>
  <c r="Q189" i="16" s="1"/>
  <c r="M176" i="16"/>
  <c r="O180" i="16"/>
  <c r="O191" i="16" s="1"/>
  <c r="N182" i="16"/>
  <c r="N193" i="16" s="1"/>
  <c r="P180" i="16"/>
  <c r="P191" i="16" s="1"/>
  <c r="P185" i="16"/>
  <c r="P187" i="16" s="1"/>
  <c r="P174" i="16"/>
  <c r="P190" i="16" s="1"/>
  <c r="P178" i="16"/>
  <c r="P177" i="16"/>
  <c r="S181" i="16"/>
  <c r="S192" i="16" s="1"/>
  <c r="Q178" i="16"/>
  <c r="O185" i="16"/>
  <c r="O186" i="16" s="1"/>
  <c r="P176" i="16"/>
  <c r="R185" i="16"/>
  <c r="R186" i="16" s="1"/>
  <c r="R175" i="16"/>
  <c r="M180" i="16"/>
  <c r="S174" i="16"/>
  <c r="M175" i="16"/>
  <c r="N179" i="16"/>
  <c r="O174" i="16"/>
  <c r="O190" i="16" s="1"/>
  <c r="S175" i="16"/>
  <c r="Q185" i="16"/>
  <c r="Q188" i="16" s="1"/>
  <c r="N180" i="16"/>
  <c r="N191" i="16" s="1"/>
  <c r="N177" i="16"/>
  <c r="N175" i="16"/>
  <c r="R180" i="16"/>
  <c r="R191" i="16" s="1"/>
  <c r="S176" i="16"/>
  <c r="M182" i="16"/>
  <c r="M193" i="16" s="1"/>
  <c r="N176" i="16"/>
  <c r="N181" i="16"/>
  <c r="N192" i="16" s="1"/>
  <c r="P175" i="16"/>
  <c r="O175" i="16"/>
  <c r="S180" i="16"/>
  <c r="S191" i="16" s="1"/>
  <c r="Q182" i="16"/>
  <c r="Q193" i="16" s="1"/>
  <c r="M178" i="16"/>
  <c r="R182" i="16"/>
  <c r="R193" i="16" s="1"/>
  <c r="M179" i="16"/>
  <c r="P182" i="16"/>
  <c r="P193" i="16" s="1"/>
  <c r="O176" i="16"/>
  <c r="Q181" i="16"/>
  <c r="Q192" i="16" s="1"/>
  <c r="M185" i="16"/>
  <c r="Q180" i="16"/>
  <c r="Q191" i="16" s="1"/>
  <c r="R181" i="16"/>
  <c r="R192" i="16" s="1"/>
  <c r="Q177" i="16"/>
  <c r="Q176" i="16"/>
  <c r="N185" i="16"/>
  <c r="N189" i="16" s="1"/>
  <c r="R174" i="16"/>
  <c r="O254" i="16"/>
  <c r="O265" i="16" s="1"/>
  <c r="M249" i="16"/>
  <c r="O247" i="16"/>
  <c r="S246" i="16"/>
  <c r="M251" i="16"/>
  <c r="M246" i="16"/>
  <c r="S257" i="16"/>
  <c r="S258" i="16" s="1"/>
  <c r="N257" i="16"/>
  <c r="N261" i="16" s="1"/>
  <c r="S248" i="16"/>
  <c r="R252" i="16"/>
  <c r="R263" i="16" s="1"/>
  <c r="S259" i="16"/>
  <c r="M254" i="16"/>
  <c r="M265" i="16" s="1"/>
  <c r="O252" i="16"/>
  <c r="O263" i="16" s="1"/>
  <c r="M252" i="16"/>
  <c r="M257" i="16"/>
  <c r="R257" i="16"/>
  <c r="N253" i="16"/>
  <c r="N264" i="16" s="1"/>
  <c r="Q254" i="16"/>
  <c r="Q265" i="16" s="1"/>
  <c r="S253" i="16"/>
  <c r="S264" i="16" s="1"/>
  <c r="P248" i="16"/>
  <c r="O248" i="16"/>
  <c r="P253" i="16"/>
  <c r="P264" i="16" s="1"/>
  <c r="M253" i="16"/>
  <c r="M264" i="16" s="1"/>
  <c r="S247" i="16"/>
  <c r="N246" i="16"/>
  <c r="Q250" i="16"/>
  <c r="P254" i="16"/>
  <c r="P265" i="16" s="1"/>
  <c r="R249" i="16"/>
  <c r="Q247" i="16"/>
  <c r="N247" i="16"/>
  <c r="O251" i="16"/>
  <c r="M248" i="16"/>
  <c r="R248" i="16"/>
  <c r="M247" i="16"/>
  <c r="P249" i="16"/>
  <c r="P257" i="16"/>
  <c r="P258" i="16" s="1"/>
  <c r="S252" i="16"/>
  <c r="S263" i="16" s="1"/>
  <c r="P247" i="16"/>
  <c r="N248" i="16"/>
  <c r="P251" i="16"/>
  <c r="N250" i="16"/>
  <c r="O249" i="16"/>
  <c r="O257" i="16"/>
  <c r="O258" i="16" s="1"/>
  <c r="R246" i="16"/>
  <c r="N251" i="16"/>
  <c r="O246" i="16"/>
  <c r="Q252" i="16"/>
  <c r="Q263" i="16" s="1"/>
  <c r="R247" i="16"/>
  <c r="N254" i="16"/>
  <c r="N265" i="16" s="1"/>
  <c r="P250" i="16"/>
  <c r="Q249" i="16"/>
  <c r="Q248" i="16"/>
  <c r="O253" i="16"/>
  <c r="O264" i="16" s="1"/>
  <c r="Q246" i="16"/>
  <c r="R254" i="16"/>
  <c r="R265" i="16" s="1"/>
  <c r="M250" i="16"/>
  <c r="O250" i="16"/>
  <c r="P252" i="16"/>
  <c r="P263" i="16" s="1"/>
  <c r="R253" i="16"/>
  <c r="R264" i="16" s="1"/>
  <c r="Q253" i="16"/>
  <c r="Q264" i="16" s="1"/>
  <c r="N249" i="16"/>
  <c r="P246" i="16"/>
  <c r="Q257" i="16"/>
  <c r="Q259" i="16" s="1"/>
  <c r="S254" i="16"/>
  <c r="S265" i="16" s="1"/>
  <c r="N252" i="16"/>
  <c r="N263" i="16" s="1"/>
  <c r="P120" i="16"/>
  <c r="P129" i="16" s="1"/>
  <c r="M121" i="16"/>
  <c r="M130" i="16" s="1"/>
  <c r="O114" i="16"/>
  <c r="Q116" i="16"/>
  <c r="O122" i="16"/>
  <c r="O131" i="16" s="1"/>
  <c r="M120" i="16"/>
  <c r="M129" i="16" s="1"/>
  <c r="M118" i="16"/>
  <c r="M127" i="16" s="1"/>
  <c r="P115" i="16"/>
  <c r="P132" i="16" s="1"/>
  <c r="Q115" i="16"/>
  <c r="Q132" i="16" s="1"/>
  <c r="Q118" i="16"/>
  <c r="Q127" i="16" s="1"/>
  <c r="N122" i="16"/>
  <c r="N131" i="16" s="1"/>
  <c r="P118" i="16"/>
  <c r="P127" i="16" s="1"/>
  <c r="P137" i="16"/>
  <c r="R116" i="16"/>
  <c r="M115" i="16"/>
  <c r="M132" i="16" s="1"/>
  <c r="P116" i="16"/>
  <c r="M122" i="16"/>
  <c r="M131" i="16" s="1"/>
  <c r="Q121" i="16"/>
  <c r="Q130" i="16" s="1"/>
  <c r="R120" i="16"/>
  <c r="R129" i="16" s="1"/>
  <c r="O119" i="16"/>
  <c r="O128" i="16" s="1"/>
  <c r="Q114" i="16"/>
  <c r="S115" i="16"/>
  <c r="S132" i="16" s="1"/>
  <c r="S117" i="16"/>
  <c r="S126" i="16" s="1"/>
  <c r="P122" i="16"/>
  <c r="P131" i="16" s="1"/>
  <c r="M116" i="16"/>
  <c r="N114" i="16"/>
  <c r="S118" i="16"/>
  <c r="S127" i="16" s="1"/>
  <c r="N115" i="16"/>
  <c r="N132" i="16" s="1"/>
  <c r="P117" i="16"/>
  <c r="P126" i="16" s="1"/>
  <c r="N137" i="16"/>
  <c r="N186" i="16" s="1"/>
  <c r="Q137" i="16"/>
  <c r="M137" i="16"/>
  <c r="M186" i="16" s="1"/>
  <c r="O116" i="16"/>
  <c r="O115" i="16"/>
  <c r="O132" i="16" s="1"/>
  <c r="R118" i="16"/>
  <c r="R127" i="16" s="1"/>
  <c r="Q117" i="16"/>
  <c r="Q126" i="16" s="1"/>
  <c r="Q119" i="16"/>
  <c r="Q128" i="16" s="1"/>
  <c r="O118" i="16"/>
  <c r="O127" i="16" s="1"/>
  <c r="O137" i="16"/>
  <c r="S137" i="16"/>
  <c r="N116" i="16"/>
  <c r="N117" i="16"/>
  <c r="N126" i="16" s="1"/>
  <c r="S116" i="16"/>
  <c r="R114" i="16"/>
  <c r="S114" i="16"/>
  <c r="M119" i="16"/>
  <c r="M128" i="16" s="1"/>
  <c r="P114" i="16"/>
  <c r="N119" i="16"/>
  <c r="N128" i="16" s="1"/>
  <c r="P119" i="16"/>
  <c r="P128" i="16" s="1"/>
  <c r="M117" i="16"/>
  <c r="R115" i="16"/>
  <c r="R132" i="16" s="1"/>
  <c r="R137" i="16"/>
  <c r="N120" i="16"/>
  <c r="N129" i="16" s="1"/>
  <c r="R119" i="16"/>
  <c r="R128" i="16" s="1"/>
  <c r="O117" i="16"/>
  <c r="O126" i="16" s="1"/>
  <c r="Q120" i="16"/>
  <c r="Q129" i="16" s="1"/>
  <c r="N121" i="16"/>
  <c r="N130" i="16" s="1"/>
  <c r="S119" i="16"/>
  <c r="S128" i="16" s="1"/>
  <c r="N118" i="16"/>
  <c r="N127" i="16" s="1"/>
  <c r="O120" i="16"/>
  <c r="O129" i="16" s="1"/>
  <c r="O121" i="16"/>
  <c r="O130" i="16" s="1"/>
  <c r="P121" i="16"/>
  <c r="P130" i="16" s="1"/>
  <c r="R117" i="16"/>
  <c r="R126" i="16" s="1"/>
  <c r="M114" i="16"/>
  <c r="S200" i="16"/>
  <c r="M199" i="16"/>
  <c r="R199" i="16"/>
  <c r="P201" i="16"/>
  <c r="S198" i="16"/>
  <c r="Q204" i="16"/>
  <c r="Q215" i="16" s="1"/>
  <c r="R209" i="16"/>
  <c r="R212" i="16" s="1"/>
  <c r="M209" i="16"/>
  <c r="M202" i="16"/>
  <c r="Q198" i="16"/>
  <c r="O199" i="16"/>
  <c r="O209" i="16"/>
  <c r="O214" i="16" s="1"/>
  <c r="O202" i="16"/>
  <c r="S206" i="16"/>
  <c r="S217" i="16" s="1"/>
  <c r="R201" i="16"/>
  <c r="P205" i="16"/>
  <c r="P216" i="16" s="1"/>
  <c r="N200" i="16"/>
  <c r="Q201" i="16"/>
  <c r="N201" i="16"/>
  <c r="M206" i="16"/>
  <c r="M217" i="16" s="1"/>
  <c r="N199" i="16"/>
  <c r="O200" i="16"/>
  <c r="P206" i="16"/>
  <c r="P217" i="16" s="1"/>
  <c r="P199" i="16"/>
  <c r="O203" i="16"/>
  <c r="Q199" i="16"/>
  <c r="R198" i="16"/>
  <c r="N203" i="16"/>
  <c r="Q200" i="16"/>
  <c r="N209" i="16"/>
  <c r="N212" i="16" s="1"/>
  <c r="M201" i="16"/>
  <c r="N198" i="16"/>
  <c r="R200" i="16"/>
  <c r="N204" i="16"/>
  <c r="N215" i="16" s="1"/>
  <c r="R206" i="16"/>
  <c r="R217" i="16" s="1"/>
  <c r="M205" i="16"/>
  <c r="M216" i="16" s="1"/>
  <c r="S199" i="16"/>
  <c r="M200" i="16"/>
  <c r="Q205" i="16"/>
  <c r="Q216" i="16" s="1"/>
  <c r="M204" i="16"/>
  <c r="P200" i="16"/>
  <c r="O204" i="16"/>
  <c r="O215" i="16" s="1"/>
  <c r="M203" i="16"/>
  <c r="O198" i="16"/>
  <c r="S209" i="16"/>
  <c r="S211" i="16" s="1"/>
  <c r="O205" i="16"/>
  <c r="O216" i="16" s="1"/>
  <c r="P202" i="16"/>
  <c r="S204" i="16"/>
  <c r="S215" i="16" s="1"/>
  <c r="P204" i="16"/>
  <c r="P215" i="16" s="1"/>
  <c r="R204" i="16"/>
  <c r="R215" i="16" s="1"/>
  <c r="O201" i="16"/>
  <c r="P198" i="16"/>
  <c r="N202" i="16"/>
  <c r="Q209" i="16"/>
  <c r="Q211" i="16" s="1"/>
  <c r="P209" i="16"/>
  <c r="P214" i="16" s="1"/>
  <c r="O206" i="16"/>
  <c r="O217" i="16" s="1"/>
  <c r="Q202" i="16"/>
  <c r="N205" i="16"/>
  <c r="N216" i="16" s="1"/>
  <c r="Q206" i="16"/>
  <c r="Q217" i="16" s="1"/>
  <c r="P203" i="16"/>
  <c r="R205" i="16"/>
  <c r="R216" i="16" s="1"/>
  <c r="N206" i="16"/>
  <c r="N217" i="16" s="1"/>
  <c r="S205" i="16"/>
  <c r="S216" i="16" s="1"/>
  <c r="M198" i="16"/>
  <c r="Z34" i="14"/>
  <c r="X35" i="14"/>
  <c r="Y35" i="14" s="1"/>
  <c r="AG35" i="14" s="1"/>
  <c r="W36" i="14"/>
  <c r="AE35" i="14"/>
  <c r="L20" i="14" l="1"/>
  <c r="F50" i="14" s="1"/>
  <c r="P211" i="16"/>
  <c r="N211" i="16"/>
  <c r="R163" i="16"/>
  <c r="O162" i="16"/>
  <c r="M166" i="16"/>
  <c r="N188" i="16"/>
  <c r="N214" i="16"/>
  <c r="R210" i="16"/>
  <c r="O212" i="16"/>
  <c r="O213" i="16"/>
  <c r="R211" i="16"/>
  <c r="P212" i="16"/>
  <c r="P210" i="16"/>
  <c r="P213" i="16"/>
  <c r="O211" i="16"/>
  <c r="S187" i="16"/>
  <c r="S163" i="16"/>
  <c r="O210" i="16"/>
  <c r="O189" i="16"/>
  <c r="Y226" i="16"/>
  <c r="P302" i="16"/>
  <c r="M307" i="16"/>
  <c r="N213" i="16"/>
  <c r="Y202" i="16"/>
  <c r="O304" i="16"/>
  <c r="P260" i="16"/>
  <c r="N260" i="16"/>
  <c r="Y250" i="16"/>
  <c r="N262" i="16"/>
  <c r="Q212" i="16"/>
  <c r="N305" i="16"/>
  <c r="P305" i="16"/>
  <c r="Q213" i="16"/>
  <c r="O188" i="16"/>
  <c r="Y274" i="16"/>
  <c r="R162" i="16"/>
  <c r="O306" i="16"/>
  <c r="S145" i="16"/>
  <c r="Z310" i="16" s="1"/>
  <c r="S134" i="16"/>
  <c r="S310" i="16" s="1"/>
  <c r="N144" i="16"/>
  <c r="U309" i="16" s="1"/>
  <c r="N133" i="16"/>
  <c r="N309" i="16" s="1"/>
  <c r="Q143" i="16"/>
  <c r="X308" i="16" s="1"/>
  <c r="Q308" i="16"/>
  <c r="Y225" i="16"/>
  <c r="M239" i="16"/>
  <c r="S235" i="16"/>
  <c r="S234" i="16"/>
  <c r="O234" i="16"/>
  <c r="O238" i="16"/>
  <c r="O236" i="16"/>
  <c r="O235" i="16"/>
  <c r="O237" i="16"/>
  <c r="R284" i="16"/>
  <c r="R282" i="16"/>
  <c r="R283" i="16"/>
  <c r="M145" i="16"/>
  <c r="T310" i="16" s="1"/>
  <c r="M134" i="16"/>
  <c r="M310" i="16" s="1"/>
  <c r="Q305" i="16"/>
  <c r="N304" i="16"/>
  <c r="Q302" i="16"/>
  <c r="M234" i="16"/>
  <c r="M284" i="16"/>
  <c r="M142" i="16"/>
  <c r="M236" i="16"/>
  <c r="M138" i="16"/>
  <c r="M262" i="16"/>
  <c r="M259" i="16"/>
  <c r="M285" i="16"/>
  <c r="M188" i="16"/>
  <c r="M140" i="16"/>
  <c r="M187" i="16"/>
  <c r="M283" i="16"/>
  <c r="M212" i="16"/>
  <c r="M141" i="16"/>
  <c r="M210" i="16"/>
  <c r="M211" i="16"/>
  <c r="M237" i="16"/>
  <c r="M213" i="16"/>
  <c r="M143" i="16"/>
  <c r="M139" i="16"/>
  <c r="M235" i="16"/>
  <c r="T302" i="16"/>
  <c r="M162" i="16"/>
  <c r="M163" i="16"/>
  <c r="M258" i="16"/>
  <c r="M260" i="16"/>
  <c r="M282" i="16"/>
  <c r="P307" i="16"/>
  <c r="P144" i="16"/>
  <c r="W309" i="16" s="1"/>
  <c r="P133" i="16"/>
  <c r="P309" i="16" s="1"/>
  <c r="P143" i="16"/>
  <c r="W308" i="16" s="1"/>
  <c r="P308" i="16"/>
  <c r="N187" i="16"/>
  <c r="P188" i="16"/>
  <c r="P285" i="16"/>
  <c r="P284" i="16"/>
  <c r="P286" i="16"/>
  <c r="P283" i="16"/>
  <c r="P282" i="16"/>
  <c r="N165" i="16"/>
  <c r="N163" i="16"/>
  <c r="Q187" i="16"/>
  <c r="Q210" i="16"/>
  <c r="R302" i="16"/>
  <c r="N303" i="16"/>
  <c r="O302" i="16"/>
  <c r="R143" i="16"/>
  <c r="R308" i="16"/>
  <c r="P145" i="16"/>
  <c r="W310" i="16" s="1"/>
  <c r="P134" i="16"/>
  <c r="P310" i="16" s="1"/>
  <c r="S144" i="16"/>
  <c r="Z309" i="16" s="1"/>
  <c r="S133" i="16"/>
  <c r="S309" i="16" s="1"/>
  <c r="O138" i="16"/>
  <c r="V302" i="16"/>
  <c r="O141" i="16"/>
  <c r="O139" i="16"/>
  <c r="O142" i="16"/>
  <c r="O140" i="16"/>
  <c r="O143" i="16"/>
  <c r="V308" i="16" s="1"/>
  <c r="R303" i="16"/>
  <c r="Q139" i="16"/>
  <c r="Q141" i="16"/>
  <c r="X302" i="16"/>
  <c r="Q140" i="16"/>
  <c r="Q138" i="16"/>
  <c r="S303" i="16"/>
  <c r="S302" i="16"/>
  <c r="R305" i="16"/>
  <c r="Y118" i="16"/>
  <c r="M308" i="16"/>
  <c r="N307" i="16"/>
  <c r="M303" i="16"/>
  <c r="O134" i="16"/>
  <c r="O310" i="16" s="1"/>
  <c r="O145" i="16"/>
  <c r="V310" i="16" s="1"/>
  <c r="R187" i="16"/>
  <c r="M164" i="16"/>
  <c r="P189" i="16"/>
  <c r="P259" i="16"/>
  <c r="R188" i="16"/>
  <c r="Y177" i="16"/>
  <c r="M191" i="16"/>
  <c r="Q284" i="16"/>
  <c r="Q283" i="16"/>
  <c r="Q285" i="16"/>
  <c r="Q282" i="16"/>
  <c r="O286" i="16"/>
  <c r="O285" i="16"/>
  <c r="O283" i="16"/>
  <c r="O282" i="16"/>
  <c r="O284" i="16"/>
  <c r="N285" i="16"/>
  <c r="N284" i="16"/>
  <c r="N286" i="16"/>
  <c r="N283" i="16"/>
  <c r="Y308" i="16"/>
  <c r="O187" i="16"/>
  <c r="N306" i="16"/>
  <c r="P304" i="16"/>
  <c r="Q304" i="16"/>
  <c r="O133" i="16"/>
  <c r="O309" i="16" s="1"/>
  <c r="O144" i="16"/>
  <c r="V309" i="16" s="1"/>
  <c r="M144" i="16"/>
  <c r="T309" i="16" s="1"/>
  <c r="M133" i="16"/>
  <c r="M309" i="16" s="1"/>
  <c r="Q145" i="16"/>
  <c r="X310" i="16" s="1"/>
  <c r="Q134" i="16"/>
  <c r="Q310" i="16" s="1"/>
  <c r="P140" i="16"/>
  <c r="P139" i="16"/>
  <c r="P141" i="16"/>
  <c r="P142" i="16"/>
  <c r="P138" i="16"/>
  <c r="W302" i="16"/>
  <c r="O307" i="16"/>
  <c r="P236" i="16"/>
  <c r="P235" i="16"/>
  <c r="P238" i="16"/>
  <c r="P234" i="16"/>
  <c r="P237" i="16"/>
  <c r="R234" i="16"/>
  <c r="R235" i="16"/>
  <c r="R236" i="16"/>
  <c r="Y153" i="16"/>
  <c r="M167" i="16"/>
  <c r="M215" i="16"/>
  <c r="Y201" i="16"/>
  <c r="O305" i="16"/>
  <c r="Y302" i="16"/>
  <c r="R140" i="16"/>
  <c r="R139" i="16"/>
  <c r="R138" i="16"/>
  <c r="R145" i="16"/>
  <c r="Y310" i="16" s="1"/>
  <c r="R134" i="16"/>
  <c r="R310" i="16" s="1"/>
  <c r="Z302" i="16"/>
  <c r="S138" i="16"/>
  <c r="S139" i="16"/>
  <c r="N308" i="16"/>
  <c r="P303" i="16"/>
  <c r="Q133" i="16"/>
  <c r="Q309" i="16" s="1"/>
  <c r="Q144" i="16"/>
  <c r="X309" i="16" s="1"/>
  <c r="M189" i="16"/>
  <c r="M263" i="16"/>
  <c r="Y249" i="16"/>
  <c r="N238" i="16"/>
  <c r="N235" i="16"/>
  <c r="N237" i="16"/>
  <c r="N236" i="16"/>
  <c r="M261" i="16"/>
  <c r="P186" i="16"/>
  <c r="S210" i="16"/>
  <c r="P306" i="16"/>
  <c r="S304" i="16"/>
  <c r="R304" i="16"/>
  <c r="M126" i="16"/>
  <c r="M302" i="16" s="1"/>
  <c r="Y154" i="16"/>
  <c r="Y119" i="16"/>
  <c r="M304" i="16"/>
  <c r="N302" i="16"/>
  <c r="O303" i="16"/>
  <c r="O308" i="16"/>
  <c r="N258" i="16"/>
  <c r="N143" i="16"/>
  <c r="U308" i="16" s="1"/>
  <c r="N282" i="16"/>
  <c r="U302" i="16"/>
  <c r="N138" i="16"/>
  <c r="N139" i="16"/>
  <c r="N162" i="16"/>
  <c r="N142" i="16"/>
  <c r="N140" i="16"/>
  <c r="N210" i="16"/>
  <c r="N234" i="16"/>
  <c r="N141" i="16"/>
  <c r="N145" i="16"/>
  <c r="U310" i="16" s="1"/>
  <c r="N134" i="16"/>
  <c r="N310" i="16" s="1"/>
  <c r="S143" i="16"/>
  <c r="Z308" i="16" s="1"/>
  <c r="S308" i="16"/>
  <c r="Q306" i="16"/>
  <c r="R144" i="16"/>
  <c r="Y309" i="16" s="1"/>
  <c r="R133" i="16"/>
  <c r="R309" i="16" s="1"/>
  <c r="Q303" i="16"/>
  <c r="M305" i="16"/>
  <c r="M306" i="16"/>
  <c r="Q186" i="16"/>
  <c r="Q260" i="16"/>
  <c r="Q258" i="16"/>
  <c r="O262" i="16"/>
  <c r="O261" i="16"/>
  <c r="O260" i="16"/>
  <c r="P261" i="16"/>
  <c r="P262" i="16"/>
  <c r="R258" i="16"/>
  <c r="R260" i="16"/>
  <c r="M238" i="16"/>
  <c r="M214" i="16"/>
  <c r="Y178" i="16"/>
  <c r="Q236" i="16"/>
  <c r="Q235" i="16"/>
  <c r="Q234" i="16"/>
  <c r="Q237" i="16"/>
  <c r="Y273" i="16"/>
  <c r="M287" i="16"/>
  <c r="S282" i="16"/>
  <c r="S283" i="16"/>
  <c r="Q261" i="16"/>
  <c r="O259" i="16"/>
  <c r="R259" i="16"/>
  <c r="Q165" i="16"/>
  <c r="Q162" i="16"/>
  <c r="Q164" i="16"/>
  <c r="P162" i="16"/>
  <c r="P165" i="16"/>
  <c r="P164" i="16"/>
  <c r="O164" i="16"/>
  <c r="O165" i="16"/>
  <c r="N259" i="16"/>
  <c r="Z35" i="14"/>
  <c r="AE36" i="14"/>
  <c r="X36" i="14"/>
  <c r="Y36" i="14" s="1"/>
  <c r="AG36" i="14" s="1"/>
  <c r="W37" i="14"/>
  <c r="Y257" i="16" l="1"/>
  <c r="Y281" i="16"/>
  <c r="Y233" i="16"/>
  <c r="Y209" i="16"/>
  <c r="Y185" i="16"/>
  <c r="Y160" i="16"/>
  <c r="U307" i="16"/>
  <c r="W304" i="16"/>
  <c r="U305" i="16"/>
  <c r="U303" i="16"/>
  <c r="Y304" i="16"/>
  <c r="T304" i="16"/>
  <c r="Y120" i="16"/>
  <c r="Y121" i="16" s="1"/>
  <c r="Y122" i="16" s="1"/>
  <c r="Z115" i="16" s="1"/>
  <c r="Y203" i="16"/>
  <c r="Y204" i="16" s="1"/>
  <c r="Y205" i="16" s="1"/>
  <c r="V304" i="16"/>
  <c r="Y227" i="16"/>
  <c r="Y228" i="16" s="1"/>
  <c r="Y229" i="16" s="1"/>
  <c r="Y275" i="16"/>
  <c r="Y276" i="16" s="1"/>
  <c r="Y277" i="16" s="1"/>
  <c r="V306" i="16"/>
  <c r="Y124" i="16"/>
  <c r="T308" i="16"/>
  <c r="T307" i="16"/>
  <c r="Z304" i="16"/>
  <c r="W303" i="16"/>
  <c r="W305" i="16"/>
  <c r="X306" i="16"/>
  <c r="V305" i="16"/>
  <c r="T306" i="16"/>
  <c r="T305" i="16"/>
  <c r="W306" i="16"/>
  <c r="Y179" i="16"/>
  <c r="Y180" i="16" s="1"/>
  <c r="Y181" i="16" s="1"/>
  <c r="X305" i="16"/>
  <c r="U306" i="16"/>
  <c r="Y305" i="16"/>
  <c r="U304" i="16"/>
  <c r="Y251" i="16"/>
  <c r="Y252" i="16" s="1"/>
  <c r="Y253" i="16" s="1"/>
  <c r="Z303" i="16"/>
  <c r="Y303" i="16"/>
  <c r="Y155" i="16"/>
  <c r="Y156" i="16" s="1"/>
  <c r="Y157" i="16" s="1"/>
  <c r="W307" i="16"/>
  <c r="X303" i="16"/>
  <c r="X304" i="16"/>
  <c r="V307" i="16"/>
  <c r="V303" i="16"/>
  <c r="T303" i="16"/>
  <c r="Z36" i="14"/>
  <c r="W38" i="14"/>
  <c r="X37" i="14"/>
  <c r="Y37" i="14" s="1"/>
  <c r="AG37" i="14" s="1"/>
  <c r="AE37" i="14"/>
  <c r="Z222" i="16" l="1"/>
  <c r="Z198" i="16"/>
  <c r="Z270" i="16"/>
  <c r="Z246" i="16"/>
  <c r="Z150" i="16"/>
  <c r="Z174" i="16"/>
  <c r="Z37" i="14"/>
  <c r="AE38" i="14"/>
  <c r="X38" i="14"/>
  <c r="Y38" i="14" s="1"/>
  <c r="AG38" i="14" s="1"/>
  <c r="Z38" i="14" l="1"/>
  <c r="W39" i="14"/>
  <c r="AE39" i="14" l="1"/>
  <c r="X39" i="14"/>
  <c r="Y39" i="14" s="1"/>
  <c r="AG39" i="14" s="1"/>
  <c r="W40" i="14"/>
  <c r="Z39" i="14" l="1"/>
  <c r="X40" i="14"/>
  <c r="W41" i="14"/>
  <c r="AE40" i="14"/>
  <c r="AE41" i="14" l="1"/>
  <c r="Y40" i="14"/>
  <c r="AG40" i="14" s="1"/>
  <c r="X41" i="14"/>
  <c r="W42" i="14"/>
  <c r="Y41" i="14" l="1"/>
  <c r="AG41" i="14" s="1"/>
  <c r="W43" i="14"/>
  <c r="X42" i="14"/>
  <c r="Z40" i="14"/>
  <c r="AE42" i="14"/>
  <c r="Z41" i="14" l="1"/>
  <c r="Y42" i="14"/>
  <c r="AG42" i="14" s="1"/>
  <c r="AE43" i="14"/>
  <c r="X43" i="14"/>
  <c r="W44" i="14"/>
  <c r="Z42" i="14" l="1"/>
  <c r="Y43" i="14"/>
  <c r="AG43" i="14" s="1"/>
  <c r="X44" i="14"/>
  <c r="W45" i="14"/>
  <c r="AE44" i="14"/>
  <c r="Z43" i="14" l="1"/>
  <c r="Y44" i="14"/>
  <c r="AG44" i="14" s="1"/>
  <c r="W46" i="14"/>
  <c r="X45" i="14"/>
  <c r="AE45" i="14"/>
  <c r="Y45" i="14" l="1"/>
  <c r="AG45" i="14" s="1"/>
  <c r="Z44" i="14"/>
  <c r="AE46" i="14"/>
  <c r="X46" i="14"/>
  <c r="W47" i="14"/>
  <c r="Y46" i="14" l="1"/>
  <c r="AG46" i="14" s="1"/>
  <c r="Z45" i="14"/>
  <c r="X47" i="14"/>
  <c r="W48" i="14"/>
  <c r="AE47" i="14"/>
  <c r="Y47" i="14" l="1"/>
  <c r="AG47" i="14" s="1"/>
  <c r="Z46" i="14"/>
  <c r="AE48" i="14"/>
  <c r="X48" i="14"/>
  <c r="W49" i="14"/>
  <c r="Y48" i="14" l="1"/>
  <c r="AG48" i="14" s="1"/>
  <c r="Z47" i="14"/>
  <c r="W50" i="14"/>
  <c r="X49" i="14"/>
  <c r="AE49" i="14"/>
  <c r="Y49" i="14" l="1"/>
  <c r="AG49" i="14" s="1"/>
  <c r="Z48" i="14"/>
  <c r="X50" i="14"/>
  <c r="AE50" i="14"/>
  <c r="Y50" i="14" l="1"/>
  <c r="AG50" i="14" s="1"/>
  <c r="Z49" i="14"/>
  <c r="Z50" i="14" l="1"/>
  <c r="W51" i="14"/>
  <c r="AE51" i="14" l="1"/>
  <c r="X51" i="14"/>
  <c r="Y51" i="14" s="1"/>
  <c r="AG51" i="14" s="1"/>
  <c r="W52" i="14"/>
  <c r="Z51" i="14" l="1"/>
  <c r="AE52" i="14"/>
  <c r="W53" i="14"/>
  <c r="X52" i="14"/>
  <c r="Y52" i="14" s="1"/>
  <c r="AG52" i="14" s="1"/>
  <c r="Z52" i="14" l="1"/>
  <c r="X53" i="14"/>
  <c r="Y53" i="14" s="1"/>
  <c r="AG53" i="14" s="1"/>
  <c r="W54" i="14"/>
  <c r="AE53" i="14"/>
  <c r="Z53" i="14" l="1"/>
  <c r="AE54" i="14"/>
  <c r="X54" i="14"/>
  <c r="Y54" i="14" s="1"/>
  <c r="AG54" i="14" s="1"/>
  <c r="Z54" i="14" l="1"/>
  <c r="W55" i="14" l="1"/>
  <c r="W56" i="14" l="1"/>
  <c r="X55" i="14"/>
  <c r="Y55" i="14" s="1"/>
  <c r="AG55" i="14" s="1"/>
  <c r="AE55" i="14"/>
  <c r="Z55" i="14" l="1"/>
  <c r="AE56" i="14"/>
  <c r="W57" i="14"/>
  <c r="X56" i="14"/>
  <c r="Y56" i="14" s="1"/>
  <c r="AG56" i="14" s="1"/>
  <c r="Z56" i="14" l="1"/>
  <c r="X57" i="14"/>
  <c r="Y57" i="14" s="1"/>
  <c r="AG57" i="14" s="1"/>
  <c r="W58" i="14"/>
  <c r="AE57" i="14"/>
  <c r="Z57" i="14" l="1"/>
  <c r="AE58" i="14"/>
  <c r="X58" i="14"/>
  <c r="Y58" i="14" s="1"/>
  <c r="AG58" i="14" s="1"/>
  <c r="W59" i="14"/>
  <c r="Z58" i="14" l="1"/>
  <c r="X59" i="14"/>
  <c r="Y59" i="14" s="1"/>
  <c r="AG59" i="14" s="1"/>
  <c r="W60" i="14"/>
  <c r="AE59" i="14"/>
  <c r="Z59" i="14" l="1"/>
  <c r="AE60" i="14"/>
  <c r="W61" i="14"/>
  <c r="X60" i="14"/>
  <c r="Y60" i="14" s="1"/>
  <c r="AG60" i="14" s="1"/>
  <c r="Z60" i="14" l="1"/>
  <c r="X61" i="14"/>
  <c r="Y61" i="14" s="1"/>
  <c r="AG61" i="14" s="1"/>
  <c r="W62" i="14"/>
  <c r="AE61" i="14"/>
  <c r="Z61" i="14" l="1"/>
  <c r="AE62" i="14"/>
  <c r="X62" i="14"/>
  <c r="Y62" i="14" s="1"/>
  <c r="AG62" i="14" s="1"/>
  <c r="W63" i="14"/>
  <c r="Z62" i="14" l="1"/>
  <c r="AE63" i="14"/>
  <c r="X63" i="14"/>
  <c r="Y63" i="14" s="1"/>
  <c r="AG63" i="14" s="1"/>
  <c r="W64" i="14"/>
  <c r="Z63" i="14" l="1"/>
  <c r="W65" i="14"/>
  <c r="X64" i="14"/>
  <c r="Y64" i="14" s="1"/>
  <c r="AG64" i="14" s="1"/>
  <c r="AE64" i="14"/>
  <c r="Z64" i="14" l="1"/>
  <c r="X65" i="14"/>
  <c r="Y65" i="14" s="1"/>
  <c r="AG65" i="14" s="1"/>
  <c r="W66" i="14"/>
  <c r="AE65" i="14"/>
  <c r="Z65" i="14" l="1"/>
  <c r="AE66" i="14"/>
  <c r="X66" i="14"/>
  <c r="Y66" i="14" s="1"/>
  <c r="AG66" i="14" s="1"/>
  <c r="W67" i="14"/>
  <c r="Z66" i="14" l="1"/>
  <c r="W68" i="14"/>
  <c r="X67" i="14"/>
  <c r="Y67" i="14" s="1"/>
  <c r="AG67" i="14" s="1"/>
  <c r="AE67" i="14"/>
  <c r="Z67" i="14" l="1"/>
  <c r="AE68" i="14"/>
  <c r="X68" i="14"/>
  <c r="Y68" i="14" s="1"/>
  <c r="AG68" i="14" s="1"/>
  <c r="W69" i="14"/>
  <c r="Z68" i="14" l="1"/>
  <c r="AE69" i="14"/>
  <c r="X69" i="14"/>
  <c r="Y69" i="14" s="1"/>
  <c r="AG69" i="14" s="1"/>
  <c r="W70" i="14"/>
  <c r="Z69" i="14" l="1"/>
  <c r="AE70" i="14"/>
  <c r="W71" i="14"/>
  <c r="X70" i="14"/>
  <c r="Y70" i="14" s="1"/>
  <c r="AG70" i="14" s="1"/>
  <c r="Z70" i="14" l="1"/>
  <c r="X71" i="14"/>
  <c r="Y71" i="14" s="1"/>
  <c r="AG71" i="14" s="1"/>
  <c r="W72" i="14"/>
  <c r="AE71" i="14"/>
  <c r="Z71" i="14" l="1"/>
  <c r="AE72" i="14"/>
  <c r="X72" i="14"/>
  <c r="Y72" i="14" s="1"/>
  <c r="AG72" i="14" s="1"/>
  <c r="W73" i="14"/>
  <c r="Z72" i="14" l="1"/>
  <c r="AE73" i="14"/>
  <c r="X73" i="14"/>
  <c r="Y73" i="14" s="1"/>
  <c r="AG73" i="14" s="1"/>
  <c r="W74" i="14"/>
  <c r="Z73" i="14" l="1"/>
  <c r="W75" i="14"/>
  <c r="X74" i="14"/>
  <c r="Y74" i="14" s="1"/>
  <c r="AG74" i="14" s="1"/>
  <c r="AE74" i="14"/>
  <c r="Z74" i="14" l="1"/>
  <c r="AE75" i="14"/>
  <c r="W76" i="14"/>
  <c r="X75" i="14"/>
  <c r="Y75" i="14" s="1"/>
  <c r="AG75" i="14" s="1"/>
  <c r="Z75" i="14" l="1"/>
  <c r="W77" i="14"/>
  <c r="X76" i="14"/>
  <c r="Y76" i="14" s="1"/>
  <c r="AG76" i="14" s="1"/>
  <c r="AE76" i="14"/>
  <c r="Z76" i="14" l="1"/>
  <c r="AE77" i="14"/>
  <c r="X77" i="14"/>
  <c r="Y77" i="14" s="1"/>
  <c r="AG77" i="14" s="1"/>
  <c r="W78" i="14"/>
  <c r="Z77" i="14" l="1"/>
  <c r="X78" i="14"/>
  <c r="Y78" i="14" s="1"/>
  <c r="AG78" i="14" s="1"/>
  <c r="W79" i="14"/>
  <c r="AE78" i="14"/>
  <c r="Z78" i="14" l="1"/>
  <c r="AE79" i="14"/>
  <c r="W80" i="14"/>
  <c r="X79" i="14"/>
  <c r="Y79" i="14" s="1"/>
  <c r="AG79" i="14" s="1"/>
  <c r="Z79" i="14" l="1"/>
  <c r="AE80" i="14"/>
  <c r="W81" i="14"/>
  <c r="X80" i="14"/>
  <c r="Y80" i="14" s="1"/>
  <c r="AG80" i="14" s="1"/>
  <c r="Z80" i="14" l="1"/>
  <c r="W82" i="14"/>
  <c r="X81" i="14"/>
  <c r="Y81" i="14" s="1"/>
  <c r="AG81" i="14" s="1"/>
  <c r="AE81" i="14"/>
  <c r="Z81" i="14" l="1"/>
  <c r="AE82" i="14"/>
  <c r="X82" i="14"/>
  <c r="Y82" i="14" s="1"/>
  <c r="AG82" i="14" s="1"/>
  <c r="W83" i="14"/>
  <c r="Z82" i="14" l="1"/>
  <c r="AE83" i="14"/>
  <c r="X83" i="14"/>
  <c r="Y83" i="14" s="1"/>
  <c r="AG83" i="14" s="1"/>
  <c r="W84" i="14"/>
  <c r="Z83" i="14" l="1"/>
  <c r="AE84" i="14"/>
  <c r="W85" i="14"/>
  <c r="X84" i="14"/>
  <c r="Y84" i="14" s="1"/>
  <c r="AG84" i="14" s="1"/>
  <c r="Z84" i="14" l="1"/>
  <c r="W86" i="14"/>
  <c r="X85" i="14"/>
  <c r="Y85" i="14" s="1"/>
  <c r="AG85" i="14" s="1"/>
  <c r="AE85" i="14"/>
  <c r="Z85" i="14" l="1"/>
  <c r="AE86" i="14"/>
  <c r="W87" i="14"/>
  <c r="X86" i="14"/>
  <c r="Y86" i="14" s="1"/>
  <c r="AG86" i="14" s="1"/>
  <c r="Z86" i="14" l="1"/>
  <c r="W88" i="14"/>
  <c r="X87" i="14"/>
  <c r="Y87" i="14" s="1"/>
  <c r="AG87" i="14" s="1"/>
  <c r="AE87" i="14"/>
  <c r="Z87" i="14" l="1"/>
  <c r="AE88" i="14"/>
  <c r="W89" i="14"/>
  <c r="X88" i="14"/>
  <c r="Y88" i="14" s="1"/>
  <c r="AG88" i="14" s="1"/>
  <c r="Z88" i="14" l="1"/>
  <c r="W90" i="14"/>
  <c r="X89" i="14"/>
  <c r="Y89" i="14" s="1"/>
  <c r="AG89" i="14" s="1"/>
  <c r="AE89" i="14"/>
  <c r="Z89" i="14" l="1"/>
  <c r="X90" i="14"/>
  <c r="Y90" i="14" s="1"/>
  <c r="AG90" i="14" s="1"/>
  <c r="W91" i="14"/>
  <c r="AE90" i="14"/>
  <c r="Z90" i="14" l="1"/>
  <c r="W92" i="14"/>
  <c r="X91" i="14"/>
  <c r="Y91" i="14" s="1"/>
  <c r="AG91" i="14" s="1"/>
  <c r="AE91" i="14"/>
  <c r="Z91" i="14" l="1"/>
  <c r="AE92" i="14"/>
  <c r="X92" i="14"/>
  <c r="Y92" i="14" s="1"/>
  <c r="AG92" i="14" s="1"/>
  <c r="W93" i="14"/>
  <c r="Z92" i="14" l="1"/>
  <c r="W94" i="14"/>
  <c r="X93" i="14"/>
  <c r="Y93" i="14" s="1"/>
  <c r="AG93" i="14" s="1"/>
  <c r="AE93" i="14"/>
  <c r="Z93" i="14" l="1"/>
  <c r="AE94" i="14"/>
  <c r="X94" i="14"/>
  <c r="Y94" i="14" s="1"/>
  <c r="AG94" i="14" s="1"/>
  <c r="W95" i="14"/>
  <c r="Z94" i="14" l="1"/>
  <c r="X95" i="14"/>
  <c r="Y95" i="14" s="1"/>
  <c r="AG95" i="14" s="1"/>
  <c r="W96" i="14"/>
  <c r="AE95" i="14"/>
  <c r="Z95" i="14" l="1"/>
  <c r="AE96" i="14"/>
  <c r="X96" i="14"/>
  <c r="Y96" i="14" s="1"/>
  <c r="AG96" i="14" s="1"/>
  <c r="W97" i="14"/>
  <c r="Z96" i="14" l="1"/>
  <c r="X97" i="14"/>
  <c r="Y97" i="14" s="1"/>
  <c r="AG97" i="14" s="1"/>
  <c r="W98" i="14"/>
  <c r="AE97" i="14"/>
  <c r="Z97" i="14" l="1"/>
  <c r="AE98" i="14"/>
  <c r="X98" i="14"/>
  <c r="Y98" i="14" s="1"/>
  <c r="AG98" i="14" s="1"/>
  <c r="W99" i="14"/>
  <c r="Z98" i="14" l="1"/>
  <c r="AE99" i="14"/>
  <c r="W100" i="14"/>
  <c r="X99" i="14"/>
  <c r="Y99" i="14" s="1"/>
  <c r="AG99" i="14" s="1"/>
  <c r="Z99" i="14" l="1"/>
  <c r="W101" i="14"/>
  <c r="X100" i="14"/>
  <c r="Y100" i="14" s="1"/>
  <c r="AG100" i="14" s="1"/>
  <c r="AE100" i="14"/>
  <c r="Z100" i="14" l="1"/>
  <c r="X101" i="14"/>
  <c r="Y101" i="14" s="1"/>
  <c r="AG101" i="14" s="1"/>
  <c r="W102" i="14"/>
  <c r="AE101" i="14"/>
  <c r="Z101" i="14" l="1"/>
  <c r="X102" i="14"/>
  <c r="Y102" i="14" s="1"/>
  <c r="AG102" i="14" s="1"/>
  <c r="W103" i="14"/>
  <c r="AE102" i="14"/>
  <c r="Z102" i="14" l="1"/>
  <c r="AE103" i="14"/>
  <c r="W104" i="14"/>
  <c r="X103" i="14"/>
  <c r="Y103" i="14" s="1"/>
  <c r="AG103" i="14" s="1"/>
  <c r="Z103" i="14" l="1"/>
  <c r="AE104" i="14"/>
  <c r="W105" i="14"/>
  <c r="X104" i="14"/>
  <c r="Y104" i="14" s="1"/>
  <c r="AG104" i="14" s="1"/>
  <c r="Z104" i="14" l="1"/>
  <c r="X105" i="14"/>
  <c r="Y105" i="14" s="1"/>
  <c r="AG105" i="14" s="1"/>
  <c r="W106" i="14"/>
  <c r="AE105" i="14"/>
  <c r="Z105" i="14" l="1"/>
  <c r="AE106" i="14"/>
  <c r="X106" i="14"/>
  <c r="Y106" i="14" s="1"/>
  <c r="AG106" i="14" s="1"/>
  <c r="W107" i="14"/>
  <c r="Z106" i="14" l="1"/>
  <c r="AE107" i="14"/>
  <c r="X107" i="14"/>
  <c r="Y107" i="14" s="1"/>
  <c r="AG107" i="14" s="1"/>
  <c r="W108" i="14"/>
  <c r="Z107" i="14" l="1"/>
  <c r="W109" i="14"/>
  <c r="X108" i="14"/>
  <c r="Y108" i="14" s="1"/>
  <c r="AG108" i="14" s="1"/>
  <c r="AE108" i="14"/>
  <c r="Z108" i="14" l="1"/>
  <c r="X109" i="14"/>
  <c r="Y109" i="14" s="1"/>
  <c r="AG109" i="14" s="1"/>
  <c r="W110" i="14"/>
  <c r="AE109" i="14"/>
  <c r="Z109" i="14" l="1"/>
  <c r="W111" i="14"/>
  <c r="X110" i="14"/>
  <c r="Y110" i="14" s="1"/>
  <c r="AG110" i="14" s="1"/>
  <c r="AE110" i="14"/>
  <c r="Z110" i="14" l="1"/>
  <c r="AE111" i="14"/>
  <c r="X111" i="14"/>
  <c r="Y111" i="14" s="1"/>
  <c r="AG111" i="14" s="1"/>
  <c r="W112" i="14"/>
  <c r="Z111" i="14" l="1"/>
  <c r="W113" i="14"/>
  <c r="X112" i="14"/>
  <c r="Y112" i="14" s="1"/>
  <c r="AG112" i="14" s="1"/>
  <c r="AE112" i="14"/>
  <c r="Z112" i="14" l="1"/>
  <c r="X113" i="14"/>
  <c r="Y113" i="14" s="1"/>
  <c r="AG113" i="14" s="1"/>
  <c r="W114" i="14"/>
  <c r="AE113" i="14"/>
  <c r="Z113" i="14" l="1"/>
  <c r="AE114" i="14"/>
  <c r="X114" i="14"/>
  <c r="Y114" i="14" s="1"/>
  <c r="AG114" i="14" s="1"/>
  <c r="W115" i="14"/>
  <c r="Z114" i="14" l="1"/>
  <c r="W116" i="14"/>
  <c r="X115" i="14"/>
  <c r="Y115" i="14" s="1"/>
  <c r="AG115" i="14" s="1"/>
  <c r="AE115" i="14"/>
  <c r="Z115" i="14" l="1"/>
  <c r="AE116" i="14"/>
  <c r="W117" i="14"/>
  <c r="X116" i="14"/>
  <c r="Y116" i="14" s="1"/>
  <c r="AG116" i="14" s="1"/>
  <c r="Z116" i="14" l="1"/>
  <c r="X117" i="14"/>
  <c r="Y117" i="14" s="1"/>
  <c r="AG117" i="14" s="1"/>
  <c r="W118" i="14"/>
  <c r="AE117" i="14"/>
  <c r="Z117" i="14" l="1"/>
  <c r="AE118" i="14"/>
  <c r="X118" i="14"/>
  <c r="Y118" i="14" s="1"/>
  <c r="AG118" i="14" s="1"/>
  <c r="W119" i="14"/>
  <c r="Z118" i="14" l="1"/>
  <c r="AE119" i="14"/>
  <c r="X119" i="14"/>
  <c r="Y119" i="14" s="1"/>
  <c r="AG119" i="14" s="1"/>
  <c r="W120" i="14"/>
  <c r="Z119" i="14" l="1"/>
  <c r="W121" i="14"/>
  <c r="X120" i="14"/>
  <c r="Y120" i="14" s="1"/>
  <c r="AG120" i="14" s="1"/>
  <c r="AE120" i="14"/>
  <c r="Z120" i="14" l="1"/>
  <c r="AE121" i="14"/>
  <c r="X121" i="14"/>
  <c r="Y121" i="14" s="1"/>
  <c r="AG121" i="14" s="1"/>
  <c r="W122" i="14"/>
  <c r="Z121" i="14" l="1"/>
  <c r="W123" i="14"/>
  <c r="X122" i="14"/>
  <c r="Y122" i="14" s="1"/>
  <c r="AG122" i="14" s="1"/>
  <c r="AE122" i="14"/>
  <c r="Z122" i="14" l="1"/>
  <c r="AE123" i="14"/>
  <c r="W124" i="14"/>
  <c r="X123" i="14"/>
  <c r="Y123" i="14" s="1"/>
  <c r="AG123" i="14" s="1"/>
  <c r="Z123" i="14" l="1"/>
  <c r="W125" i="14"/>
  <c r="X124" i="14"/>
  <c r="Y124" i="14" s="1"/>
  <c r="AG124" i="14" s="1"/>
  <c r="AE124" i="14"/>
  <c r="Z124" i="14" l="1"/>
  <c r="AE125" i="14"/>
  <c r="W126" i="14"/>
  <c r="X125" i="14"/>
  <c r="Y125" i="14" s="1"/>
  <c r="AG125" i="14" s="1"/>
  <c r="Z125" i="14" l="1"/>
  <c r="W127" i="14"/>
  <c r="X126" i="14"/>
  <c r="Y126" i="14" s="1"/>
  <c r="AG126" i="14" s="1"/>
  <c r="AE126" i="14"/>
  <c r="Z126" i="14" l="1"/>
  <c r="X127" i="14"/>
  <c r="Y127" i="14" s="1"/>
  <c r="AG127" i="14" s="1"/>
  <c r="W128" i="14"/>
  <c r="AE127" i="14"/>
  <c r="Z127" i="14" l="1"/>
  <c r="W129" i="14"/>
  <c r="X128" i="14"/>
  <c r="Y128" i="14" s="1"/>
  <c r="AG128" i="14" s="1"/>
  <c r="AE128" i="14"/>
  <c r="Z128" i="14" l="1"/>
  <c r="AE129" i="14"/>
  <c r="X129" i="14"/>
  <c r="Y129" i="14" s="1"/>
  <c r="AG129" i="14" s="1"/>
  <c r="W130" i="14"/>
  <c r="Z129" i="14" l="1"/>
  <c r="W131" i="14"/>
  <c r="X130" i="14"/>
  <c r="Y130" i="14" s="1"/>
  <c r="AG130" i="14" s="1"/>
  <c r="AE130" i="14"/>
  <c r="Z130" i="14" l="1"/>
  <c r="AE131" i="14"/>
  <c r="X131" i="14"/>
  <c r="Y131" i="14" s="1"/>
  <c r="AG131" i="14" s="1"/>
  <c r="W132" i="14"/>
  <c r="Z131" i="14" l="1"/>
  <c r="X132" i="14"/>
  <c r="Y132" i="14" s="1"/>
  <c r="AG132" i="14" s="1"/>
  <c r="W133" i="14"/>
  <c r="AE132" i="14"/>
  <c r="Z132" i="14" l="1"/>
  <c r="AE133" i="14"/>
  <c r="X133" i="14"/>
  <c r="Y133" i="14" s="1"/>
  <c r="AG133" i="14" s="1"/>
  <c r="W134" i="14"/>
  <c r="Z133" i="14" l="1"/>
  <c r="X134" i="14"/>
  <c r="Y134" i="14" s="1"/>
  <c r="AG134" i="14" s="1"/>
  <c r="AA30" i="14"/>
  <c r="AE134" i="14"/>
  <c r="Z134" i="14" l="1"/>
  <c r="AI30" i="14"/>
  <c r="AA31" i="14"/>
  <c r="AB30" i="14"/>
  <c r="AC30" i="14" s="1"/>
  <c r="AD30" i="14" s="1"/>
  <c r="AA32" i="14" l="1"/>
  <c r="AB31" i="14"/>
  <c r="AI31" i="14"/>
  <c r="AC31" i="14" l="1"/>
  <c r="AD31" i="14" s="1"/>
  <c r="AI32" i="14"/>
  <c r="AB32" i="14"/>
  <c r="AA33" i="14"/>
  <c r="AA34" i="14" l="1"/>
  <c r="AB33" i="14"/>
  <c r="AC32" i="14"/>
  <c r="AD32" i="14" s="1"/>
  <c r="AI33" i="14"/>
  <c r="AC33" i="14" l="1"/>
  <c r="AD33" i="14" s="1"/>
  <c r="AI34" i="14"/>
  <c r="AA35" i="14"/>
  <c r="AB34" i="14"/>
  <c r="AC34" i="14" s="1"/>
  <c r="AD34" i="14" s="1"/>
  <c r="AB35" i="14" l="1"/>
  <c r="AA36" i="14"/>
  <c r="AI35" i="14"/>
  <c r="AA37" i="14" l="1"/>
  <c r="AB36" i="14"/>
  <c r="AI36" i="14"/>
  <c r="AC35" i="14"/>
  <c r="AD35" i="14" s="1"/>
  <c r="AI37" i="14" l="1"/>
  <c r="AC36" i="14"/>
  <c r="AD36" i="14" s="1"/>
  <c r="AB37" i="14"/>
  <c r="AA38" i="14"/>
  <c r="AC37" i="14" l="1"/>
  <c r="AD37" i="14" s="1"/>
  <c r="AB38" i="14"/>
  <c r="AC38" i="14" s="1"/>
  <c r="AD38" i="14" s="1"/>
  <c r="AI38" i="14"/>
  <c r="AA39" i="14" l="1"/>
  <c r="AI39" i="14" l="1"/>
  <c r="AA40" i="14"/>
  <c r="AB39" i="14"/>
  <c r="AC39" i="14" l="1"/>
  <c r="AD39" i="14" s="1"/>
  <c r="AA41" i="14"/>
  <c r="AB40" i="14"/>
  <c r="AI40" i="14"/>
  <c r="AI41" i="14" l="1"/>
  <c r="AC40" i="14"/>
  <c r="AD40" i="14" s="1"/>
  <c r="AA42" i="14"/>
  <c r="AB41" i="14"/>
  <c r="AC41" i="14" l="1"/>
  <c r="AD41" i="14" s="1"/>
  <c r="AI42" i="14"/>
  <c r="AA43" i="14"/>
  <c r="AB42" i="14"/>
  <c r="AC42" i="14" l="1"/>
  <c r="AD42" i="14" s="1"/>
  <c r="AA44" i="14"/>
  <c r="AB43" i="14"/>
  <c r="AI43" i="14"/>
  <c r="AI44" i="14" l="1"/>
  <c r="AC43" i="14"/>
  <c r="AD43" i="14" s="1"/>
  <c r="AB44" i="14"/>
  <c r="AA45" i="14"/>
  <c r="AB45" i="14" l="1"/>
  <c r="AA46" i="14"/>
  <c r="AI45" i="14"/>
  <c r="AC44" i="14"/>
  <c r="AD44" i="14" s="1"/>
  <c r="AC45" i="14" l="1"/>
  <c r="AD45" i="14" s="1"/>
  <c r="AA47" i="14"/>
  <c r="AB46" i="14"/>
  <c r="AC46" i="14" s="1"/>
  <c r="AD46" i="14" s="1"/>
  <c r="AI46" i="14"/>
  <c r="AI47" i="14" l="1"/>
  <c r="AA48" i="14"/>
  <c r="AB47" i="14"/>
  <c r="AC47" i="14" s="1"/>
  <c r="AD47" i="14" s="1"/>
  <c r="AI48" i="14" l="1"/>
  <c r="AA49" i="14"/>
  <c r="AB48" i="14"/>
  <c r="AC48" i="14" s="1"/>
  <c r="AD48" i="14" s="1"/>
  <c r="AI49" i="14" l="1"/>
  <c r="AB49" i="14"/>
  <c r="AC49" i="14" s="1"/>
  <c r="AD49" i="14" s="1"/>
  <c r="AA50" i="14"/>
  <c r="AB50" i="14" l="1"/>
  <c r="AC50" i="14" s="1"/>
  <c r="AD50" i="14" s="1"/>
  <c r="AI50" i="14"/>
  <c r="AA51" i="14" l="1"/>
  <c r="AI51" i="14" l="1"/>
  <c r="AA52" i="14"/>
  <c r="AB51" i="14"/>
  <c r="AB52" i="14" l="1"/>
  <c r="AA53" i="14"/>
  <c r="AC51" i="14"/>
  <c r="AD51" i="14" s="1"/>
  <c r="AI52" i="14"/>
  <c r="AA54" i="14" l="1"/>
  <c r="AB53" i="14"/>
  <c r="AC53" i="14" s="1"/>
  <c r="AD53" i="14" s="1"/>
  <c r="AI53" i="14"/>
  <c r="AC52" i="14"/>
  <c r="AD52" i="14" s="1"/>
  <c r="AI54" i="14" l="1"/>
  <c r="AB54" i="14"/>
  <c r="AC54" i="14" s="1"/>
  <c r="AD54" i="14" s="1"/>
  <c r="AA55" i="14" l="1"/>
  <c r="AB55" i="14" l="1"/>
  <c r="AC55" i="14" s="1"/>
  <c r="AD55" i="14" s="1"/>
  <c r="AA56" i="14"/>
  <c r="AI55" i="14"/>
  <c r="AI56" i="14" l="1"/>
  <c r="AA57" i="14"/>
  <c r="AB56" i="14"/>
  <c r="AC56" i="14" s="1"/>
  <c r="AD56" i="14" s="1"/>
  <c r="AI57" i="14" l="1"/>
  <c r="AB57" i="14"/>
  <c r="AC57" i="14" s="1"/>
  <c r="AD57" i="14" s="1"/>
  <c r="AA58" i="14"/>
  <c r="AB58" i="14" l="1"/>
  <c r="AC58" i="14" s="1"/>
  <c r="AD58" i="14" s="1"/>
  <c r="AA59" i="14"/>
  <c r="AI58" i="14"/>
  <c r="AI59" i="14" l="1"/>
  <c r="AA60" i="14"/>
  <c r="AB59" i="14"/>
  <c r="AC59" i="14" s="1"/>
  <c r="AD59" i="14" s="1"/>
  <c r="AA61" i="14" l="1"/>
  <c r="AB60" i="14"/>
  <c r="AC60" i="14" s="1"/>
  <c r="AD60" i="14" s="1"/>
  <c r="AI60" i="14"/>
  <c r="AI61" i="14" l="1"/>
  <c r="AA62" i="14"/>
  <c r="AB61" i="14"/>
  <c r="AC61" i="14" s="1"/>
  <c r="AD61" i="14" s="1"/>
  <c r="AA63" i="14" l="1"/>
  <c r="AB62" i="14"/>
  <c r="AI62" i="14"/>
  <c r="AC62" i="14" l="1"/>
  <c r="AD62" i="14" s="1"/>
  <c r="AI63" i="14"/>
  <c r="AB63" i="14"/>
  <c r="AC63" i="14" s="1"/>
  <c r="AD63" i="14" s="1"/>
  <c r="AA64" i="14"/>
  <c r="AB64" i="14" l="1"/>
  <c r="AC64" i="14" s="1"/>
  <c r="AD64" i="14" s="1"/>
  <c r="AA65" i="14"/>
  <c r="AI64" i="14"/>
  <c r="AB65" i="14" l="1"/>
  <c r="AC65" i="14" s="1"/>
  <c r="AD65" i="14" s="1"/>
  <c r="AA66" i="14"/>
  <c r="AI65" i="14"/>
  <c r="AB66" i="14" l="1"/>
  <c r="AC66" i="14" s="1"/>
  <c r="AD66" i="14" s="1"/>
  <c r="AA67" i="14"/>
  <c r="AI66" i="14"/>
  <c r="AI67" i="14" l="1"/>
  <c r="AB67" i="14"/>
  <c r="AC67" i="14" s="1"/>
  <c r="AD67" i="14" s="1"/>
  <c r="AA68" i="14"/>
  <c r="AB68" i="14" l="1"/>
  <c r="AC68" i="14" s="1"/>
  <c r="AD68" i="14" s="1"/>
  <c r="AA69" i="14"/>
  <c r="AI68" i="14"/>
  <c r="AI69" i="14" l="1"/>
  <c r="AA70" i="14"/>
  <c r="AB69" i="14"/>
  <c r="AC69" i="14" s="1"/>
  <c r="AD69" i="14" s="1"/>
  <c r="AI70" i="14" l="1"/>
  <c r="AB70" i="14"/>
  <c r="AC70" i="14" s="1"/>
  <c r="AD70" i="14" s="1"/>
  <c r="AA71" i="14"/>
  <c r="AA72" i="14" l="1"/>
  <c r="AB71" i="14"/>
  <c r="AC71" i="14" s="1"/>
  <c r="AD71" i="14" s="1"/>
  <c r="AI71" i="14"/>
  <c r="AI72" i="14" l="1"/>
  <c r="AA73" i="14"/>
  <c r="AB72" i="14"/>
  <c r="AC72" i="14" s="1"/>
  <c r="AD72" i="14" s="1"/>
  <c r="AB73" i="14" l="1"/>
  <c r="AC73" i="14" s="1"/>
  <c r="AD73" i="14" s="1"/>
  <c r="AA74" i="14"/>
  <c r="AI73" i="14"/>
  <c r="AA75" i="14" l="1"/>
  <c r="AB74" i="14"/>
  <c r="AC74" i="14" s="1"/>
  <c r="AD74" i="14" s="1"/>
  <c r="AI74" i="14"/>
  <c r="AI75" i="14" l="1"/>
  <c r="AB75" i="14"/>
  <c r="AA76" i="14"/>
  <c r="AB76" i="14" l="1"/>
  <c r="AA77" i="14"/>
  <c r="AC75" i="14"/>
  <c r="AD75" i="14" s="1"/>
  <c r="AI76" i="14"/>
  <c r="AC76" i="14" l="1"/>
  <c r="AD76" i="14" s="1"/>
  <c r="AB77" i="14"/>
  <c r="AC77" i="14" s="1"/>
  <c r="AD77" i="14" s="1"/>
  <c r="AA78" i="14"/>
  <c r="AI77" i="14"/>
  <c r="AB78" i="14" l="1"/>
  <c r="AC78" i="14" s="1"/>
  <c r="AD78" i="14" s="1"/>
  <c r="AA79" i="14"/>
  <c r="AI78" i="14"/>
  <c r="AI79" i="14" l="1"/>
  <c r="AA80" i="14"/>
  <c r="AB79" i="14"/>
  <c r="AC79" i="14" s="1"/>
  <c r="AD79" i="14" s="1"/>
  <c r="AI80" i="14" l="1"/>
  <c r="AB80" i="14"/>
  <c r="AA81" i="14"/>
  <c r="AA82" i="14" l="1"/>
  <c r="AB81" i="14"/>
  <c r="AI81" i="14"/>
  <c r="AC80" i="14"/>
  <c r="AD80" i="14" s="1"/>
  <c r="AI82" i="14" l="1"/>
  <c r="AC81" i="14"/>
  <c r="AD81" i="14" s="1"/>
  <c r="AA83" i="14"/>
  <c r="AB82" i="14"/>
  <c r="AC82" i="14" s="1"/>
  <c r="AD82" i="14" s="1"/>
  <c r="AI83" i="14" l="1"/>
  <c r="AB83" i="14"/>
  <c r="AA84" i="14"/>
  <c r="AA85" i="14" l="1"/>
  <c r="AB84" i="14"/>
  <c r="AC84" i="14" s="1"/>
  <c r="AD84" i="14" s="1"/>
  <c r="AI84" i="14"/>
  <c r="AC83" i="14"/>
  <c r="AD83" i="14" s="1"/>
  <c r="AI85" i="14" l="1"/>
  <c r="AB85" i="14"/>
  <c r="AC85" i="14" s="1"/>
  <c r="AD85" i="14" s="1"/>
  <c r="AA86" i="14"/>
  <c r="AB86" i="14" l="1"/>
  <c r="AC86" i="14" s="1"/>
  <c r="AD86" i="14" s="1"/>
  <c r="AA87" i="14"/>
  <c r="AI86" i="14"/>
  <c r="AI87" i="14" l="1"/>
  <c r="AB87" i="14"/>
  <c r="AC87" i="14" s="1"/>
  <c r="AD87" i="14" s="1"/>
  <c r="AA88" i="14"/>
  <c r="AB88" i="14" l="1"/>
  <c r="AC88" i="14" s="1"/>
  <c r="AD88" i="14" s="1"/>
  <c r="AA89" i="14"/>
  <c r="AI88" i="14"/>
  <c r="AI89" i="14" l="1"/>
  <c r="AB89" i="14"/>
  <c r="AC89" i="14" s="1"/>
  <c r="AD89" i="14" s="1"/>
  <c r="AA90" i="14"/>
  <c r="AB90" i="14" l="1"/>
  <c r="AC90" i="14" s="1"/>
  <c r="AD90" i="14" s="1"/>
  <c r="AA91" i="14"/>
  <c r="AI90" i="14"/>
  <c r="AI91" i="14" l="1"/>
  <c r="AB91" i="14"/>
  <c r="AC91" i="14" s="1"/>
  <c r="AD91" i="14" s="1"/>
  <c r="AA92" i="14"/>
  <c r="AB92" i="14" l="1"/>
  <c r="AC92" i="14" s="1"/>
  <c r="AD92" i="14" s="1"/>
  <c r="AA93" i="14"/>
  <c r="AI92" i="14"/>
  <c r="AI93" i="14" l="1"/>
  <c r="AB93" i="14"/>
  <c r="AC93" i="14" s="1"/>
  <c r="AD93" i="14" s="1"/>
  <c r="AA94" i="14"/>
  <c r="AB94" i="14" l="1"/>
  <c r="AC94" i="14" s="1"/>
  <c r="AD94" i="14" s="1"/>
  <c r="AA95" i="14"/>
  <c r="AI94" i="14"/>
  <c r="AI95" i="14" l="1"/>
  <c r="AB95" i="14"/>
  <c r="AC95" i="14" s="1"/>
  <c r="AD95" i="14" s="1"/>
  <c r="AA96" i="14"/>
  <c r="AB96" i="14" l="1"/>
  <c r="AC96" i="14" s="1"/>
  <c r="AD96" i="14" s="1"/>
  <c r="AA97" i="14"/>
  <c r="AI96" i="14"/>
  <c r="AI97" i="14" l="1"/>
  <c r="AB97" i="14"/>
  <c r="AC97" i="14" s="1"/>
  <c r="AD97" i="14" s="1"/>
  <c r="AA98" i="14"/>
  <c r="AB98" i="14" l="1"/>
  <c r="AC98" i="14" s="1"/>
  <c r="AD98" i="14" s="1"/>
  <c r="AA99" i="14"/>
  <c r="AI98" i="14"/>
  <c r="AI99" i="14" l="1"/>
  <c r="AB99" i="14"/>
  <c r="AC99" i="14" s="1"/>
  <c r="AD99" i="14" s="1"/>
  <c r="AA100" i="14"/>
  <c r="AB100" i="14" l="1"/>
  <c r="AC100" i="14" s="1"/>
  <c r="AD100" i="14" s="1"/>
  <c r="AA101" i="14"/>
  <c r="AI100" i="14"/>
  <c r="AI101" i="14" l="1"/>
  <c r="AB101" i="14"/>
  <c r="AC101" i="14" s="1"/>
  <c r="AD101" i="14" s="1"/>
  <c r="AA102" i="14"/>
  <c r="AB102" i="14" l="1"/>
  <c r="AC102" i="14" s="1"/>
  <c r="AD102" i="14" s="1"/>
  <c r="AA103" i="14"/>
  <c r="AI102" i="14"/>
  <c r="AB103" i="14" l="1"/>
  <c r="AC103" i="14" s="1"/>
  <c r="AD103" i="14" s="1"/>
  <c r="AA104" i="14"/>
  <c r="AI103" i="14"/>
  <c r="AB104" i="14" l="1"/>
  <c r="AC104" i="14" s="1"/>
  <c r="AD104" i="14" s="1"/>
  <c r="AA105" i="14"/>
  <c r="AI104" i="14"/>
  <c r="AI105" i="14" l="1"/>
  <c r="AA106" i="14"/>
  <c r="AB105" i="14"/>
  <c r="AC105" i="14" s="1"/>
  <c r="AD105" i="14" s="1"/>
  <c r="AI106" i="14" l="1"/>
  <c r="AB106" i="14"/>
  <c r="AC106" i="14" s="1"/>
  <c r="AD106" i="14" s="1"/>
  <c r="AA107" i="14"/>
  <c r="AA108" i="14" l="1"/>
  <c r="AB107" i="14"/>
  <c r="AC107" i="14" s="1"/>
  <c r="AD107" i="14" s="1"/>
  <c r="AI107" i="14"/>
  <c r="AI108" i="14" l="1"/>
  <c r="AA109" i="14"/>
  <c r="AB108" i="14"/>
  <c r="AC108" i="14" s="1"/>
  <c r="AD108" i="14" s="1"/>
  <c r="AA110" i="14" l="1"/>
  <c r="AB109" i="14"/>
  <c r="AC109" i="14" s="1"/>
  <c r="AD109" i="14" s="1"/>
  <c r="AI109" i="14"/>
  <c r="AI110" i="14" l="1"/>
  <c r="AA111" i="14"/>
  <c r="AB110" i="14"/>
  <c r="AC110" i="14" s="1"/>
  <c r="AD110" i="14" s="1"/>
  <c r="AA112" i="14" l="1"/>
  <c r="AB111" i="14"/>
  <c r="AC111" i="14" s="1"/>
  <c r="AD111" i="14" s="1"/>
  <c r="AI111" i="14"/>
  <c r="AI112" i="14" l="1"/>
  <c r="AB112" i="14"/>
  <c r="AC112" i="14" s="1"/>
  <c r="AD112" i="14" s="1"/>
  <c r="AA113" i="14"/>
  <c r="AA114" i="14" l="1"/>
  <c r="AB113" i="14"/>
  <c r="AC113" i="14" s="1"/>
  <c r="AD113" i="14" s="1"/>
  <c r="AI113" i="14"/>
  <c r="AI114" i="14" l="1"/>
  <c r="AB114" i="14"/>
  <c r="AC114" i="14" s="1"/>
  <c r="AD114" i="14" s="1"/>
  <c r="AA115" i="14"/>
  <c r="AA116" i="14" l="1"/>
  <c r="AB115" i="14"/>
  <c r="AC115" i="14" s="1"/>
  <c r="AD115" i="14" s="1"/>
  <c r="AI115" i="14"/>
  <c r="AI116" i="14" l="1"/>
  <c r="AB116" i="14"/>
  <c r="AC116" i="14" s="1"/>
  <c r="AD116" i="14" s="1"/>
  <c r="AA117" i="14"/>
  <c r="AA118" i="14" l="1"/>
  <c r="AB117" i="14"/>
  <c r="AC117" i="14" s="1"/>
  <c r="AD117" i="14" s="1"/>
  <c r="AI117" i="14"/>
  <c r="AI118" i="14" l="1"/>
  <c r="AB118" i="14"/>
  <c r="AC118" i="14" s="1"/>
  <c r="AD118" i="14" s="1"/>
  <c r="AA119" i="14"/>
  <c r="AA120" i="14" l="1"/>
  <c r="AB119" i="14"/>
  <c r="AC119" i="14" s="1"/>
  <c r="AD119" i="14" s="1"/>
  <c r="AI119" i="14"/>
  <c r="AI120" i="14" l="1"/>
  <c r="AA121" i="14"/>
  <c r="AB120" i="14"/>
  <c r="AC120" i="14" s="1"/>
  <c r="AD120" i="14" s="1"/>
  <c r="AA122" i="14" l="1"/>
  <c r="AB121" i="14"/>
  <c r="AC121" i="14" s="1"/>
  <c r="AD121" i="14" s="1"/>
  <c r="AI121" i="14"/>
  <c r="AI122" i="14" l="1"/>
  <c r="AA123" i="14"/>
  <c r="AB122" i="14"/>
  <c r="AC122" i="14" s="1"/>
  <c r="AD122" i="14" s="1"/>
  <c r="AA124" i="14" l="1"/>
  <c r="AB123" i="14"/>
  <c r="AC123" i="14" s="1"/>
  <c r="AD123" i="14" s="1"/>
  <c r="AI123" i="14"/>
  <c r="AI124" i="14" l="1"/>
  <c r="AA125" i="14"/>
  <c r="AB124" i="14"/>
  <c r="AC124" i="14" s="1"/>
  <c r="AD124" i="14" s="1"/>
  <c r="AA126" i="14" l="1"/>
  <c r="AB125" i="14"/>
  <c r="AC125" i="14" s="1"/>
  <c r="AD125" i="14" s="1"/>
  <c r="AI125" i="14"/>
  <c r="AI126" i="14" l="1"/>
  <c r="AA127" i="14"/>
  <c r="AB126" i="14"/>
  <c r="AC126" i="14" s="1"/>
  <c r="AD126" i="14" s="1"/>
  <c r="AA128" i="14" l="1"/>
  <c r="AB127" i="14"/>
  <c r="AC127" i="14" s="1"/>
  <c r="AD127" i="14" s="1"/>
  <c r="AI127" i="14"/>
  <c r="AI128" i="14" l="1"/>
  <c r="AA129" i="14"/>
  <c r="AB128" i="14"/>
  <c r="AC128" i="14" s="1"/>
  <c r="AD128" i="14" s="1"/>
  <c r="AA130" i="14" l="1"/>
  <c r="AB130" i="14" s="1"/>
  <c r="AB129" i="14"/>
  <c r="AI129" i="14"/>
  <c r="AI130" i="14" l="1"/>
  <c r="AB131" i="14"/>
  <c r="X29" i="14"/>
  <c r="AC129" i="14"/>
  <c r="AD129" i="14" s="1"/>
  <c r="AC130" i="14" l="1"/>
  <c r="AD130" i="14" s="1"/>
  <c r="AD131" i="14" s="1"/>
  <c r="Z29" i="14" s="1"/>
  <c r="Z26" i="14" s="1"/>
  <c r="AC132" i="14" l="1"/>
  <c r="Z25" i="14" s="1"/>
  <c r="AC134" i="14" l="1"/>
  <c r="O34" i="14" s="1"/>
  <c r="H30" i="14" s="1"/>
  <c r="E44" i="14" l="1"/>
  <c r="F38" i="16" l="1"/>
  <c r="M47" i="16" l="1"/>
  <c r="M49" i="16"/>
  <c r="M51" i="16"/>
  <c r="M53" i="16"/>
  <c r="M55" i="16"/>
  <c r="N49" i="16"/>
  <c r="N51" i="16"/>
  <c r="N53" i="16"/>
  <c r="N55" i="16"/>
  <c r="M50" i="16"/>
  <c r="M52" i="16"/>
  <c r="M54" i="16"/>
  <c r="N48" i="16"/>
  <c r="N50" i="16"/>
  <c r="N52" i="16"/>
  <c r="N54" i="16"/>
  <c r="N47" i="16"/>
  <c r="M48" i="16"/>
  <c r="S48" i="16"/>
  <c r="S54" i="16"/>
  <c r="O47" i="16"/>
  <c r="Y48" i="16" s="1"/>
  <c r="P52" i="16"/>
  <c r="R49" i="16"/>
  <c r="P49" i="16"/>
  <c r="Q54" i="16"/>
  <c r="O53" i="16"/>
  <c r="P51" i="16"/>
  <c r="R54" i="16"/>
  <c r="O49" i="16"/>
  <c r="Q47" i="16"/>
  <c r="S49" i="16"/>
  <c r="O54" i="16"/>
  <c r="R50" i="16"/>
  <c r="P54" i="16"/>
  <c r="R53" i="16"/>
  <c r="Q49" i="16"/>
  <c r="R48" i="16"/>
  <c r="P48" i="16"/>
  <c r="Q51" i="16"/>
  <c r="Q53" i="16"/>
  <c r="R47" i="16"/>
  <c r="Q50" i="16"/>
  <c r="P53" i="16"/>
  <c r="O50" i="16"/>
  <c r="O51" i="16"/>
  <c r="O48" i="16"/>
  <c r="S53" i="16"/>
  <c r="Q55" i="16"/>
  <c r="Q48" i="16"/>
  <c r="P50" i="16"/>
  <c r="R55" i="16"/>
  <c r="O52" i="16"/>
  <c r="O55" i="16"/>
  <c r="P55" i="16"/>
  <c r="P47" i="16"/>
  <c r="S55" i="16"/>
  <c r="S47" i="16"/>
  <c r="M70" i="16"/>
  <c r="M80" i="16" s="1"/>
  <c r="M63" i="16"/>
  <c r="M84" i="16" s="1"/>
  <c r="O71" i="16"/>
  <c r="O81" i="16" s="1"/>
  <c r="N66" i="16"/>
  <c r="N76" i="16" s="1"/>
  <c r="R63" i="16"/>
  <c r="R84" i="16" s="1"/>
  <c r="P63" i="16"/>
  <c r="P84" i="16" s="1"/>
  <c r="P71" i="16"/>
  <c r="P81" i="16" s="1"/>
  <c r="Q63" i="16"/>
  <c r="Q84" i="16" s="1"/>
  <c r="P67" i="16"/>
  <c r="P77" i="16" s="1"/>
  <c r="M71" i="16"/>
  <c r="M81" i="16" s="1"/>
  <c r="S65" i="16"/>
  <c r="S83" i="16" s="1"/>
  <c r="P69" i="16"/>
  <c r="P79" i="16" s="1"/>
  <c r="M65" i="16"/>
  <c r="M83" i="16" s="1"/>
  <c r="O70" i="16"/>
  <c r="O80" i="16" s="1"/>
  <c r="Q65" i="16"/>
  <c r="Q83" i="16" s="1"/>
  <c r="N63" i="16"/>
  <c r="N84" i="16" s="1"/>
  <c r="R64" i="16"/>
  <c r="R82" i="16" s="1"/>
  <c r="Q70" i="16"/>
  <c r="Q80" i="16" s="1"/>
  <c r="S64" i="16"/>
  <c r="S82" i="16" s="1"/>
  <c r="M69" i="16"/>
  <c r="M79" i="16" s="1"/>
  <c r="O69" i="16"/>
  <c r="O79" i="16" s="1"/>
  <c r="W77" i="16"/>
  <c r="N64" i="16"/>
  <c r="N82" i="16" s="1"/>
  <c r="R68" i="16"/>
  <c r="R78" i="16" s="1"/>
  <c r="O64" i="16"/>
  <c r="O82" i="16" s="1"/>
  <c r="N68" i="16"/>
  <c r="N78" i="16" s="1"/>
  <c r="Q68" i="16"/>
  <c r="Q78" i="16" s="1"/>
  <c r="N71" i="16"/>
  <c r="N81" i="16" s="1"/>
  <c r="O67" i="16"/>
  <c r="O77" i="16" s="1"/>
  <c r="O65" i="16"/>
  <c r="O83" i="16" s="1"/>
  <c r="Q69" i="16"/>
  <c r="Q79" i="16" s="1"/>
  <c r="P70" i="16"/>
  <c r="P80" i="16" s="1"/>
  <c r="W65" i="16"/>
  <c r="Q67" i="16"/>
  <c r="Q77" i="16" s="1"/>
  <c r="Q66" i="16"/>
  <c r="Q76" i="16" s="1"/>
  <c r="N69" i="16"/>
  <c r="N79" i="16" s="1"/>
  <c r="R65" i="16"/>
  <c r="R83" i="16" s="1"/>
  <c r="O68" i="16"/>
  <c r="O78" i="16" s="1"/>
  <c r="S67" i="16"/>
  <c r="S77" i="16" s="1"/>
  <c r="M66" i="16"/>
  <c r="M76" i="16" s="1"/>
  <c r="P65" i="16"/>
  <c r="P83" i="16" s="1"/>
  <c r="P68" i="16"/>
  <c r="P78" i="16" s="1"/>
  <c r="S63" i="16"/>
  <c r="S84" i="16" s="1"/>
  <c r="S68" i="16"/>
  <c r="S78" i="16" s="1"/>
  <c r="S66" i="16"/>
  <c r="S76" i="16" s="1"/>
  <c r="P66" i="16"/>
  <c r="P76" i="16" s="1"/>
  <c r="O66" i="16"/>
  <c r="O76" i="16" s="1"/>
  <c r="M64" i="16"/>
  <c r="M82" i="16" s="1"/>
  <c r="N67" i="16"/>
  <c r="N77" i="16" s="1"/>
  <c r="N65" i="16"/>
  <c r="N83" i="16" s="1"/>
  <c r="R69" i="16"/>
  <c r="R79" i="16" s="1"/>
  <c r="R67" i="16"/>
  <c r="R77" i="16" s="1"/>
  <c r="M68" i="16"/>
  <c r="M78" i="16" s="1"/>
  <c r="R66" i="16"/>
  <c r="R76" i="16" s="1"/>
  <c r="F37" i="16"/>
  <c r="P64" i="16"/>
  <c r="P82" i="16" s="1"/>
  <c r="Q64" i="16"/>
  <c r="Q82" i="16" s="1"/>
  <c r="N70" i="16"/>
  <c r="N80" i="16" s="1"/>
  <c r="O63" i="16"/>
  <c r="O84" i="16" s="1"/>
  <c r="M67" i="16"/>
  <c r="M77" i="16" s="1"/>
  <c r="X83" i="16" l="1"/>
  <c r="Y53" i="16" s="1"/>
  <c r="Y88" i="16"/>
  <c r="Y47" i="16"/>
  <c r="Y89" i="16"/>
  <c r="X71" i="16"/>
  <c r="Y90" i="16" l="1"/>
  <c r="Y91" i="16" s="1"/>
  <c r="Y92" i="16" s="1"/>
  <c r="Y49" i="16"/>
  <c r="Y50" i="16" s="1"/>
  <c r="Y51" i="16" s="1"/>
  <c r="V54" i="16" s="1"/>
  <c r="E45" i="14"/>
  <c r="H55" i="14" l="1"/>
  <c r="H56" i="14"/>
  <c r="K43" i="14"/>
  <c r="L43" i="14" s="1"/>
  <c r="M43" i="14" s="1"/>
  <c r="H57" i="14" l="1"/>
  <c r="H58" i="14" s="1"/>
  <c r="H59" i="14" s="1"/>
  <c r="E56" i="14" s="1"/>
  <c r="N43" i="14"/>
  <c r="O43" i="14" s="1"/>
  <c r="E57" i="14" l="1"/>
  <c r="K44" i="14"/>
  <c r="L44" i="14" s="1"/>
  <c r="M44" i="14" s="1"/>
  <c r="P43" i="14"/>
  <c r="Q43" i="14" s="1"/>
  <c r="E46" i="14" s="1"/>
  <c r="E58" i="14" l="1"/>
  <c r="E59" i="14" s="1"/>
  <c r="H61" i="14" s="1"/>
  <c r="AF33" i="14"/>
  <c r="AH33" i="14" s="1"/>
  <c r="AF96" i="14"/>
  <c r="AH96" i="14" s="1"/>
  <c r="AF97" i="14"/>
  <c r="AH97" i="14" s="1"/>
  <c r="AF98" i="14"/>
  <c r="AH98" i="14" s="1"/>
  <c r="AF99" i="14"/>
  <c r="AH99" i="14" s="1"/>
  <c r="AF100" i="14"/>
  <c r="AH100" i="14" s="1"/>
  <c r="AF101" i="14"/>
  <c r="AH101" i="14" s="1"/>
  <c r="AF102" i="14"/>
  <c r="AH102" i="14" s="1"/>
  <c r="AF103" i="14"/>
  <c r="AH103" i="14" s="1"/>
  <c r="AF104" i="14"/>
  <c r="AH104" i="14" s="1"/>
  <c r="AF105" i="14"/>
  <c r="AH105" i="14" s="1"/>
  <c r="AF106" i="14"/>
  <c r="AH106" i="14" s="1"/>
  <c r="AF107" i="14"/>
  <c r="AH107" i="14" s="1"/>
  <c r="AF108" i="14"/>
  <c r="AH108" i="14" s="1"/>
  <c r="AF109" i="14"/>
  <c r="AH109" i="14" s="1"/>
  <c r="AF110" i="14"/>
  <c r="AH110" i="14" s="1"/>
  <c r="AF111" i="14"/>
  <c r="AH111" i="14" s="1"/>
  <c r="AF112" i="14"/>
  <c r="AH112" i="14" s="1"/>
  <c r="AF113" i="14"/>
  <c r="AH113" i="14" s="1"/>
  <c r="AF114" i="14"/>
  <c r="AH114" i="14" s="1"/>
  <c r="AF115" i="14"/>
  <c r="AH115" i="14" s="1"/>
  <c r="AF116" i="14"/>
  <c r="AH116" i="14" s="1"/>
  <c r="AF117" i="14"/>
  <c r="AH117" i="14" s="1"/>
  <c r="AF118" i="14"/>
  <c r="AH118" i="14" s="1"/>
  <c r="AF119" i="14"/>
  <c r="AH119" i="14" s="1"/>
  <c r="AF120" i="14"/>
  <c r="AH120" i="14" s="1"/>
  <c r="AF121" i="14"/>
  <c r="AH121" i="14" s="1"/>
  <c r="AF122" i="14"/>
  <c r="AH122" i="14" s="1"/>
  <c r="AF123" i="14"/>
  <c r="AH123" i="14" s="1"/>
  <c r="AF124" i="14"/>
  <c r="AH124" i="14" s="1"/>
  <c r="AF125" i="14"/>
  <c r="AH125" i="14" s="1"/>
  <c r="AF126" i="14"/>
  <c r="AH126" i="14" s="1"/>
  <c r="AF127" i="14"/>
  <c r="AH127" i="14" s="1"/>
  <c r="AF128" i="14"/>
  <c r="AH128" i="14" s="1"/>
  <c r="AF129" i="14"/>
  <c r="AH129" i="14" s="1"/>
  <c r="AF130" i="14"/>
  <c r="AH130" i="14" s="1"/>
  <c r="AF131" i="14"/>
  <c r="AH131" i="14" s="1"/>
  <c r="AD29" i="14" s="1"/>
  <c r="AF132" i="14"/>
  <c r="AH132" i="14" s="1"/>
  <c r="AF133" i="14"/>
  <c r="AH133" i="14" s="1"/>
  <c r="AF134" i="14"/>
  <c r="AH134" i="14" s="1"/>
  <c r="AJ30" i="14"/>
  <c r="AJ31" i="14"/>
  <c r="AJ32" i="14"/>
  <c r="AJ33" i="14"/>
  <c r="AJ34" i="14"/>
  <c r="AJ35" i="14"/>
  <c r="AJ36" i="14"/>
  <c r="AJ37" i="14"/>
  <c r="AJ38" i="14"/>
  <c r="AJ39" i="14"/>
  <c r="AJ40" i="14"/>
  <c r="AJ41" i="14"/>
  <c r="AJ42" i="14"/>
  <c r="AJ43" i="14"/>
  <c r="AJ44" i="14"/>
  <c r="AJ45" i="14"/>
  <c r="AJ46" i="14"/>
  <c r="AJ47" i="14"/>
  <c r="AJ48" i="14"/>
  <c r="AJ49" i="14"/>
  <c r="AJ50" i="14"/>
  <c r="AJ51" i="14"/>
  <c r="AJ52" i="14"/>
  <c r="AJ53" i="14"/>
  <c r="AJ54" i="14"/>
  <c r="AJ55" i="14"/>
  <c r="AJ56" i="14"/>
  <c r="AJ57" i="14"/>
  <c r="AJ58" i="14"/>
  <c r="AJ59" i="14"/>
  <c r="AJ60" i="14"/>
  <c r="AJ61" i="14"/>
  <c r="AJ62" i="14"/>
  <c r="AJ63" i="14"/>
  <c r="AJ64" i="14"/>
  <c r="AJ65" i="14"/>
  <c r="AJ66" i="14"/>
  <c r="AJ67" i="14"/>
  <c r="AJ68" i="14"/>
  <c r="AJ69" i="14"/>
  <c r="AJ70" i="14"/>
  <c r="AJ71" i="14"/>
  <c r="AJ72" i="14"/>
  <c r="AJ73" i="14"/>
  <c r="AJ74" i="14"/>
  <c r="AJ75" i="14"/>
  <c r="AJ76" i="14"/>
  <c r="AJ77" i="14"/>
  <c r="AJ78" i="14"/>
  <c r="AJ79" i="14"/>
  <c r="AJ80" i="14"/>
  <c r="AJ81" i="14"/>
  <c r="AJ82" i="14"/>
  <c r="AJ83" i="14"/>
  <c r="AJ84" i="14"/>
  <c r="AJ85" i="14"/>
  <c r="AJ86" i="14"/>
  <c r="AJ87" i="14"/>
  <c r="AJ88" i="14"/>
  <c r="AJ89" i="14"/>
  <c r="AJ90" i="14"/>
  <c r="AJ91" i="14"/>
  <c r="AJ92" i="14"/>
  <c r="AJ93" i="14"/>
  <c r="AJ94" i="14"/>
  <c r="AJ95" i="14"/>
  <c r="AJ96" i="14"/>
  <c r="AJ97" i="14"/>
  <c r="AJ98" i="14"/>
  <c r="AJ99" i="14"/>
  <c r="AJ100" i="14"/>
  <c r="AJ101" i="14"/>
  <c r="AJ102" i="14"/>
  <c r="AJ103" i="14"/>
  <c r="AJ104" i="14"/>
  <c r="AJ105" i="14"/>
  <c r="AJ106" i="14"/>
  <c r="AJ107" i="14"/>
  <c r="AJ108" i="14"/>
  <c r="AJ109" i="14"/>
  <c r="AJ110" i="14"/>
  <c r="AJ111" i="14"/>
  <c r="AJ112" i="14"/>
  <c r="AJ113" i="14"/>
  <c r="AJ114" i="14"/>
  <c r="AJ115" i="14"/>
  <c r="AJ116" i="14"/>
  <c r="AJ117" i="14"/>
  <c r="AJ118" i="14"/>
  <c r="AJ119" i="14"/>
  <c r="AJ120" i="14"/>
  <c r="AJ121" i="14"/>
  <c r="AJ122" i="14"/>
  <c r="AJ123" i="14"/>
  <c r="AJ124" i="14"/>
  <c r="AJ125" i="14"/>
  <c r="AJ126" i="14"/>
  <c r="AJ127" i="14"/>
  <c r="AJ128" i="14"/>
  <c r="AJ129" i="14"/>
  <c r="AJ130" i="14"/>
  <c r="E47" i="14"/>
  <c r="N44" i="14"/>
  <c r="P44" i="14" s="1"/>
  <c r="Q44" i="14" s="1"/>
  <c r="AF59" i="14"/>
  <c r="AH59" i="14" s="1"/>
  <c r="AF62" i="14"/>
  <c r="AH62" i="14" s="1"/>
  <c r="AF63" i="14"/>
  <c r="AH63" i="14" s="1"/>
  <c r="AF65" i="14"/>
  <c r="AH65" i="14" s="1"/>
  <c r="AF66" i="14"/>
  <c r="AH66" i="14" s="1"/>
  <c r="AF67" i="14"/>
  <c r="AH67" i="14" s="1"/>
  <c r="AF68" i="14"/>
  <c r="AH68" i="14" s="1"/>
  <c r="AF69" i="14"/>
  <c r="AH69" i="14" s="1"/>
  <c r="AF70" i="14"/>
  <c r="AH70" i="14" s="1"/>
  <c r="AF71" i="14"/>
  <c r="AH71" i="14" s="1"/>
  <c r="AF72" i="14"/>
  <c r="AH72" i="14" s="1"/>
  <c r="AF73" i="14"/>
  <c r="AH73" i="14" s="1"/>
  <c r="AF74" i="14"/>
  <c r="AH74" i="14" s="1"/>
  <c r="AF75" i="14"/>
  <c r="AH75" i="14" s="1"/>
  <c r="AF76" i="14"/>
  <c r="AH76" i="14" s="1"/>
  <c r="AF77" i="14"/>
  <c r="AH77" i="14" s="1"/>
  <c r="AF78" i="14"/>
  <c r="AH78" i="14" s="1"/>
  <c r="AF79" i="14"/>
  <c r="AH79" i="14" s="1"/>
  <c r="AF80" i="14"/>
  <c r="AH80" i="14" s="1"/>
  <c r="AF81" i="14"/>
  <c r="AH81" i="14" s="1"/>
  <c r="AF82" i="14"/>
  <c r="AH82" i="14" s="1"/>
  <c r="AF83" i="14"/>
  <c r="AH83" i="14" s="1"/>
  <c r="AF84" i="14"/>
  <c r="AH84" i="14" s="1"/>
  <c r="AF85" i="14"/>
  <c r="AH85" i="14" s="1"/>
  <c r="AF86" i="14"/>
  <c r="AH86" i="14" s="1"/>
  <c r="AF87" i="14"/>
  <c r="AH87" i="14" s="1"/>
  <c r="AF88" i="14"/>
  <c r="AH88" i="14" s="1"/>
  <c r="AF89" i="14"/>
  <c r="AH89" i="14" s="1"/>
  <c r="AF90" i="14"/>
  <c r="AH90" i="14" s="1"/>
  <c r="AF91" i="14"/>
  <c r="AH91" i="14" s="1"/>
  <c r="AF92" i="14"/>
  <c r="AH92" i="14" s="1"/>
  <c r="AF93" i="14"/>
  <c r="AH93" i="14" s="1"/>
  <c r="AF94" i="14"/>
  <c r="AH94" i="14" s="1"/>
  <c r="AF95" i="14"/>
  <c r="AH95" i="14" s="1"/>
  <c r="AF48" i="14"/>
  <c r="AH48" i="14" s="1"/>
  <c r="AF49" i="14"/>
  <c r="AH49" i="14" s="1"/>
  <c r="AF51" i="14"/>
  <c r="AH51" i="14" s="1"/>
  <c r="AF54" i="14"/>
  <c r="AH54" i="14" s="1"/>
  <c r="AF56" i="14"/>
  <c r="AH56" i="14" s="1"/>
  <c r="AF57" i="14"/>
  <c r="AH57" i="14" s="1"/>
  <c r="AF58" i="14"/>
  <c r="AH58" i="14" s="1"/>
  <c r="AF40" i="14"/>
  <c r="AH40" i="14" s="1"/>
  <c r="AF41" i="14"/>
  <c r="AH41" i="14" s="1"/>
  <c r="AF42" i="14"/>
  <c r="AH42" i="14" s="1"/>
  <c r="AF44" i="14"/>
  <c r="AH44" i="14" s="1"/>
  <c r="AF45" i="14"/>
  <c r="AH45" i="14" s="1"/>
  <c r="AF38" i="14"/>
  <c r="AH38" i="14" s="1"/>
  <c r="AK30" i="14" l="1"/>
  <c r="AL30" i="14" s="1"/>
  <c r="AF31" i="14"/>
  <c r="AH31" i="14" s="1"/>
  <c r="AF43" i="14"/>
  <c r="AH43" i="14" s="1"/>
  <c r="AF39" i="14"/>
  <c r="AH39" i="14" s="1"/>
  <c r="AF55" i="14"/>
  <c r="AH55" i="14" s="1"/>
  <c r="AF53" i="14"/>
  <c r="AH53" i="14" s="1"/>
  <c r="AF47" i="14"/>
  <c r="AH47" i="14" s="1"/>
  <c r="AF61" i="14"/>
  <c r="AH61" i="14" s="1"/>
  <c r="AF52" i="14"/>
  <c r="AH52" i="14" s="1"/>
  <c r="AF50" i="14"/>
  <c r="AH50" i="14" s="1"/>
  <c r="AF46" i="14"/>
  <c r="AH46" i="14" s="1"/>
  <c r="AF64" i="14"/>
  <c r="AH64" i="14" s="1"/>
  <c r="AF60" i="14"/>
  <c r="AH60" i="14" s="1"/>
  <c r="AF34" i="14"/>
  <c r="AH34" i="14" s="1"/>
  <c r="O44" i="14"/>
  <c r="AF35" i="14"/>
  <c r="AH35" i="14" s="1"/>
  <c r="AF32" i="14"/>
  <c r="AH32" i="14" s="1"/>
  <c r="AH30" i="14"/>
  <c r="AF37" i="14"/>
  <c r="AH37" i="14" s="1"/>
  <c r="AF36" i="14"/>
  <c r="AH36" i="14" s="1"/>
  <c r="AK31" i="14"/>
  <c r="AL31" i="14" s="1"/>
  <c r="E49" i="14"/>
  <c r="H49" i="14" s="1"/>
  <c r="AJ131" i="14" l="1"/>
  <c r="AF29" i="14"/>
  <c r="AF27" i="14" s="1"/>
  <c r="E60" i="14"/>
  <c r="AK32" i="14"/>
  <c r="AL32" i="14" l="1"/>
  <c r="AK33" i="14"/>
  <c r="AL33" i="14" l="1"/>
  <c r="AK34" i="14"/>
  <c r="AL34" i="14" l="1"/>
  <c r="AK35" i="14"/>
  <c r="AL35" i="14" l="1"/>
  <c r="AK36" i="14"/>
  <c r="AL36" i="14" l="1"/>
  <c r="AK37" i="14"/>
  <c r="AL37" i="14" l="1"/>
  <c r="AK38" i="14"/>
  <c r="AK39" i="14" s="1"/>
  <c r="AK40" i="14" s="1"/>
  <c r="AK41" i="14" s="1"/>
  <c r="AK42" i="14" s="1"/>
  <c r="AK43" i="14" s="1"/>
  <c r="AK44" i="14" s="1"/>
  <c r="AK45" i="14" s="1"/>
  <c r="AK46" i="14" s="1"/>
  <c r="AK47" i="14" s="1"/>
  <c r="AK48" i="14" s="1"/>
  <c r="AK49" i="14" s="1"/>
  <c r="AK50" i="14" s="1"/>
  <c r="AK51" i="14" s="1"/>
  <c r="AK52" i="14" s="1"/>
  <c r="AK53" i="14" s="1"/>
  <c r="AK54" i="14" s="1"/>
  <c r="AK55" i="14" s="1"/>
  <c r="AK56" i="14" s="1"/>
  <c r="AK57" i="14" s="1"/>
  <c r="AK58" i="14" s="1"/>
  <c r="AK59" i="14" s="1"/>
  <c r="AK60" i="14" s="1"/>
  <c r="AK61" i="14" s="1"/>
  <c r="AK62" i="14" s="1"/>
  <c r="AK63" i="14" s="1"/>
  <c r="AK64" i="14" s="1"/>
  <c r="AK65" i="14" s="1"/>
  <c r="AK66" i="14" s="1"/>
  <c r="AK67" i="14" s="1"/>
  <c r="AK68" i="14" s="1"/>
  <c r="AK69" i="14" s="1"/>
  <c r="AK70" i="14" s="1"/>
  <c r="AK71" i="14" s="1"/>
  <c r="AK72" i="14" s="1"/>
  <c r="AK73" i="14" s="1"/>
  <c r="AK74" i="14" s="1"/>
  <c r="AK75" i="14" s="1"/>
  <c r="AK76" i="14" s="1"/>
  <c r="AK77" i="14" s="1"/>
  <c r="AK78" i="14" s="1"/>
  <c r="AK79" i="14" s="1"/>
  <c r="AK80" i="14" s="1"/>
  <c r="AK81" i="14" s="1"/>
  <c r="AK82" i="14" s="1"/>
  <c r="AK83" i="14" s="1"/>
  <c r="AK84" i="14" s="1"/>
  <c r="AK85" i="14" s="1"/>
  <c r="AK86" i="14" s="1"/>
  <c r="AK87" i="14" s="1"/>
  <c r="AK88" i="14" s="1"/>
  <c r="AK89" i="14" s="1"/>
  <c r="AK90" i="14" s="1"/>
  <c r="AK91" i="14" s="1"/>
  <c r="AK92" i="14" s="1"/>
  <c r="AK93" i="14" s="1"/>
  <c r="AK94" i="14" s="1"/>
  <c r="AK95" i="14" s="1"/>
  <c r="AK96" i="14" s="1"/>
  <c r="AK97" i="14" s="1"/>
  <c r="AK98" i="14" s="1"/>
  <c r="AK99" i="14" s="1"/>
  <c r="AK100" i="14" s="1"/>
  <c r="AK101" i="14" s="1"/>
  <c r="AK102" i="14" s="1"/>
  <c r="AK103" i="14" s="1"/>
  <c r="AK104" i="14" s="1"/>
  <c r="AK105" i="14" s="1"/>
  <c r="AK106" i="14" s="1"/>
  <c r="AK107" i="14" s="1"/>
  <c r="AK108" i="14" s="1"/>
  <c r="AK109" i="14" s="1"/>
  <c r="AK110" i="14" s="1"/>
  <c r="AK111" i="14" s="1"/>
  <c r="AK112" i="14" s="1"/>
  <c r="AK113" i="14" s="1"/>
  <c r="AK114" i="14" s="1"/>
  <c r="AK115" i="14" s="1"/>
  <c r="AK116" i="14" s="1"/>
  <c r="AK117" i="14" s="1"/>
  <c r="AK118" i="14" s="1"/>
  <c r="AK119" i="14" s="1"/>
  <c r="AK120" i="14" s="1"/>
  <c r="AK121" i="14" s="1"/>
  <c r="AK122" i="14" s="1"/>
  <c r="AK123" i="14" s="1"/>
  <c r="AK124" i="14" s="1"/>
  <c r="AK125" i="14" s="1"/>
  <c r="AK126" i="14" s="1"/>
  <c r="AK127" i="14" s="1"/>
  <c r="AK128" i="14" s="1"/>
  <c r="AK129" i="14" s="1"/>
  <c r="AK130" i="14" s="1"/>
  <c r="AL38" i="14" l="1"/>
  <c r="AL39" i="14" l="1"/>
  <c r="AL40" i="14" l="1"/>
  <c r="AL41" i="14" l="1"/>
  <c r="AL42" i="14" l="1"/>
  <c r="AL43" i="14" l="1"/>
  <c r="AL44" i="14" l="1"/>
  <c r="AL45" i="14" l="1"/>
  <c r="AL46" i="14" l="1"/>
  <c r="AL47" i="14" l="1"/>
  <c r="AL48" i="14" l="1"/>
  <c r="AL49" i="14" l="1"/>
  <c r="AL50" i="14" l="1"/>
  <c r="AL51" i="14" l="1"/>
  <c r="AL52" i="14" l="1"/>
  <c r="AL53" i="14" l="1"/>
  <c r="AL54" i="14" l="1"/>
  <c r="AL55" i="14" l="1"/>
  <c r="AL56" i="14" l="1"/>
  <c r="AL57" i="14" l="1"/>
  <c r="AL58" i="14" l="1"/>
  <c r="AL59" i="14" l="1"/>
  <c r="AL60" i="14" l="1"/>
  <c r="AL61" i="14" l="1"/>
  <c r="AL62" i="14" l="1"/>
  <c r="AL63" i="14" l="1"/>
  <c r="AL64" i="14" l="1"/>
  <c r="AL65" i="14" l="1"/>
  <c r="AL66" i="14" l="1"/>
  <c r="AL67" i="14" l="1"/>
  <c r="AL68" i="14" l="1"/>
  <c r="AL69" i="14" l="1"/>
  <c r="AL70" i="14" l="1"/>
  <c r="AL71" i="14" l="1"/>
  <c r="AL72" i="14" l="1"/>
  <c r="AL73" i="14" l="1"/>
  <c r="AL74" i="14" l="1"/>
  <c r="AL75" i="14" l="1"/>
  <c r="AL76" i="14" l="1"/>
  <c r="AL77" i="14" l="1"/>
  <c r="AL78" i="14" l="1"/>
  <c r="AL79" i="14" l="1"/>
  <c r="AL80" i="14" l="1"/>
  <c r="AL81" i="14" l="1"/>
  <c r="AL82" i="14" l="1"/>
  <c r="AL83" i="14" l="1"/>
  <c r="AL84" i="14" l="1"/>
  <c r="AL85" i="14" l="1"/>
  <c r="AL86" i="14" l="1"/>
  <c r="AL87" i="14" l="1"/>
  <c r="AL88" i="14" l="1"/>
  <c r="AL89" i="14" l="1"/>
  <c r="AL90" i="14" l="1"/>
  <c r="AL91" i="14" l="1"/>
  <c r="AL92" i="14" l="1"/>
  <c r="AL93" i="14" l="1"/>
  <c r="AL94" i="14" l="1"/>
  <c r="AL95" i="14" l="1"/>
  <c r="AL96" i="14" l="1"/>
  <c r="AL97" i="14" l="1"/>
  <c r="AL98" i="14" l="1"/>
  <c r="AL99" i="14" l="1"/>
  <c r="AL100" i="14" l="1"/>
  <c r="AL101" i="14" l="1"/>
  <c r="AL102" i="14" l="1"/>
  <c r="AL103" i="14" l="1"/>
  <c r="AL104" i="14" l="1"/>
  <c r="AL105" i="14" l="1"/>
  <c r="AL106" i="14" l="1"/>
  <c r="AL107" i="14" l="1"/>
  <c r="AL108" i="14" l="1"/>
  <c r="AL109" i="14" l="1"/>
  <c r="AL110" i="14" l="1"/>
  <c r="AL111" i="14" l="1"/>
  <c r="AL112" i="14" l="1"/>
  <c r="AL113" i="14" l="1"/>
  <c r="AL114" i="14" l="1"/>
  <c r="AL115" i="14" l="1"/>
  <c r="AL116" i="14" l="1"/>
  <c r="AL117" i="14" l="1"/>
  <c r="AL118" i="14" l="1"/>
  <c r="AL119" i="14" l="1"/>
  <c r="AL120" i="14" l="1"/>
  <c r="AL121" i="14" l="1"/>
  <c r="AL122" i="14" l="1"/>
  <c r="AL123" i="14" l="1"/>
  <c r="AL124" i="14" l="1"/>
  <c r="AL125" i="14" l="1"/>
  <c r="AL126" i="14" l="1"/>
  <c r="AL127" i="14" l="1"/>
  <c r="AL128" i="14" l="1"/>
  <c r="AL129" i="14" l="1"/>
  <c r="AL130" i="14"/>
  <c r="AL131" i="14" l="1"/>
  <c r="AK132" i="14" s="1"/>
  <c r="AK134" i="14" s="1"/>
  <c r="AH29" i="14" l="1"/>
  <c r="AH26" i="14" s="1"/>
</calcChain>
</file>

<file path=xl/comments1.xml><?xml version="1.0" encoding="utf-8"?>
<comments xmlns="http://schemas.openxmlformats.org/spreadsheetml/2006/main">
  <authors>
    <author>Jörn Grabowski</author>
    <author>0980178</author>
  </authors>
  <commentList>
    <comment ref="D28" authorId="0" shapeId="0">
      <text>
        <r>
          <rPr>
            <b/>
            <sz val="8"/>
            <color indexed="81"/>
            <rFont val="Tahoma"/>
            <family val="2"/>
          </rPr>
          <t>Starting</t>
        </r>
        <r>
          <rPr>
            <sz val="8"/>
            <color indexed="81"/>
            <rFont val="Tahoma"/>
            <family val="2"/>
          </rPr>
          <t xml:space="preserve"> </t>
        </r>
        <r>
          <rPr>
            <b/>
            <sz val="8"/>
            <color indexed="81"/>
            <rFont val="Tahoma"/>
            <family val="2"/>
          </rPr>
          <t xml:space="preserve">Point:
</t>
        </r>
        <r>
          <rPr>
            <sz val="8"/>
            <color indexed="81"/>
            <rFont val="Tahoma"/>
            <family val="2"/>
          </rPr>
          <t>Beginn der Kreditlaufzeit</t>
        </r>
        <r>
          <rPr>
            <sz val="8"/>
            <color indexed="81"/>
            <rFont val="Tahoma"/>
            <family val="2"/>
          </rPr>
          <t xml:space="preserve">
(bei Halbjahresraten 6 Monate vor der ersten Tilgungsfälligkeit)</t>
        </r>
      </text>
    </comment>
    <comment ref="L90" authorId="1" shapeId="0">
      <text>
        <r>
          <rPr>
            <sz val="8"/>
            <color indexed="81"/>
            <rFont val="Tahoma"/>
            <family val="2"/>
          </rPr>
          <t>Die Risikolaufzeit kann in das Tabellenblatt "Prämie &lt; 2Jahre" übernommen werden, um das Entgelt zu berechnen.</t>
        </r>
      </text>
    </comment>
    <comment ref="M90" authorId="1" shapeId="0">
      <text>
        <r>
          <rPr>
            <sz val="8"/>
            <color indexed="81"/>
            <rFont val="Tahoma"/>
            <family val="2"/>
          </rPr>
          <t>Die Risikolaufzeit kann in das Tabellenblatt "Prämie &lt; 2Jahre" übernommen werden, um das Entgelt zu berechnen.</t>
        </r>
      </text>
    </comment>
    <comment ref="L103" authorId="1" shapeId="0">
      <text>
        <r>
          <rPr>
            <sz val="8"/>
            <color indexed="81"/>
            <rFont val="Tahoma"/>
            <family val="2"/>
          </rPr>
          <t>Die Risikolaufzeit kann in das Tabellenblatt "Prämie &gt;= 2Jahre" übernommen werden, um das Entgelt zu berechnen.</t>
        </r>
      </text>
    </comment>
  </commentList>
</comments>
</file>

<file path=xl/sharedStrings.xml><?xml version="1.0" encoding="utf-8"?>
<sst xmlns="http://schemas.openxmlformats.org/spreadsheetml/2006/main" count="794" uniqueCount="228">
  <si>
    <t>Länderkategorie</t>
  </si>
  <si>
    <t>BERATUNG</t>
  </si>
  <si>
    <t>1.  BERECHNUNG DER RISIKOLAUFZEIT</t>
  </si>
  <si>
    <t>2. BERECHNUNG DES ENTGELTS</t>
  </si>
  <si>
    <t>Rate</t>
  </si>
  <si>
    <t>gedeckter Betrag (Kreditbetrag)</t>
  </si>
  <si>
    <r>
      <t xml:space="preserve">OECD-Prämiensystem 
</t>
    </r>
    <r>
      <rPr>
        <b/>
        <sz val="10"/>
        <color indexed="12"/>
        <rFont val="Arial"/>
        <family val="2"/>
      </rPr>
      <t>&lt;</t>
    </r>
    <r>
      <rPr>
        <b/>
        <sz val="8"/>
        <color indexed="12"/>
        <rFont val="Arial"/>
        <family val="2"/>
      </rPr>
      <t xml:space="preserve"> 2 Jahre</t>
    </r>
  </si>
  <si>
    <t>SOV+</t>
  </si>
  <si>
    <t>Sov</t>
  </si>
  <si>
    <t>Sov-</t>
  </si>
  <si>
    <t>CC0</t>
  </si>
  <si>
    <t>Kurzfristige Raten:</t>
  </si>
  <si>
    <t>1. Rate ohne CE (Vergleichsmatrix)</t>
  </si>
  <si>
    <t>LK</t>
  </si>
  <si>
    <t>Länderkategorie:</t>
  </si>
  <si>
    <t>SOV</t>
  </si>
  <si>
    <t>Käuferkategorie:</t>
  </si>
  <si>
    <t>SOV-</t>
  </si>
  <si>
    <t>CC1</t>
  </si>
  <si>
    <t>CC2</t>
  </si>
  <si>
    <t>CC3</t>
  </si>
  <si>
    <t>n.a.</t>
  </si>
  <si>
    <t>CC4</t>
  </si>
  <si>
    <t>CC5</t>
  </si>
  <si>
    <t>Prämiensatz:</t>
  </si>
  <si>
    <t>Verweistabelle:</t>
  </si>
  <si>
    <t>1. Rate</t>
  </si>
  <si>
    <t>RLZ</t>
  </si>
  <si>
    <t>Prämiensatz</t>
  </si>
  <si>
    <t xml:space="preserve"> =</t>
  </si>
  <si>
    <t>2. Rate</t>
  </si>
  <si>
    <t>3. Rate</t>
  </si>
  <si>
    <t>4. Rate</t>
  </si>
  <si>
    <t>5. Rate</t>
  </si>
  <si>
    <t>6. Rate</t>
  </si>
  <si>
    <t>7. Rate</t>
  </si>
  <si>
    <t>Produktqualität:</t>
  </si>
  <si>
    <t>below standard</t>
  </si>
  <si>
    <t>wirtsch. Deckung</t>
  </si>
  <si>
    <t>politische Deckung:</t>
  </si>
  <si>
    <t>OECD-PRÄMIENSYSTEM (NEU)</t>
  </si>
  <si>
    <t>MPR =</t>
  </si>
  <si>
    <t>{ [([ ai * ( max (PCC, PCP) / .95 ) * HOR ] + bi ) * LCF ] + [ cin * (PCC / .95 ) * ( 1 - CEF ) * HOR ]]} * QPF * PCF *BTS</t>
  </si>
  <si>
    <t>Produktqualitätsfaktor</t>
  </si>
  <si>
    <t xml:space="preserve">Faktor Deckungsquote </t>
  </si>
  <si>
    <t>Länderkategorie (Entgelt)</t>
  </si>
  <si>
    <t>a</t>
  </si>
  <si>
    <t>b</t>
  </si>
  <si>
    <t>Käuferkategorie neu</t>
  </si>
  <si>
    <t>Käuferkategorie alt</t>
  </si>
  <si>
    <t>"c" Käuferzuschläge</t>
  </si>
  <si>
    <t>BTS</t>
  </si>
  <si>
    <t>KK1</t>
  </si>
  <si>
    <t>Risikolaufzeit:</t>
  </si>
  <si>
    <t>Monate</t>
  </si>
  <si>
    <t>KK2</t>
  </si>
  <si>
    <t>Jahre</t>
  </si>
  <si>
    <t>KK3</t>
  </si>
  <si>
    <t>KK4</t>
  </si>
  <si>
    <t>KK5</t>
  </si>
  <si>
    <t>CE-Discount:</t>
  </si>
  <si>
    <t>-</t>
  </si>
  <si>
    <t>Local Currency Factor:</t>
  </si>
  <si>
    <t>Prämiensätze (in %, in Abhängigkeit von Laufzeit und Risk Mitigation)</t>
  </si>
  <si>
    <t>BK1</t>
  </si>
  <si>
    <t>BK2</t>
  </si>
  <si>
    <t>BK3</t>
  </si>
  <si>
    <t>BK4</t>
  </si>
  <si>
    <t>BK5</t>
  </si>
  <si>
    <t>SK1</t>
  </si>
  <si>
    <t>SK2</t>
  </si>
  <si>
    <t>Laufzeit:</t>
  </si>
  <si>
    <r>
      <t>QPF</t>
    </r>
    <r>
      <rPr>
        <b/>
        <vertAlign val="subscript"/>
        <sz val="10"/>
        <rFont val="Arial"/>
        <family val="2"/>
      </rPr>
      <t xml:space="preserve">i
</t>
    </r>
    <r>
      <rPr>
        <sz val="10"/>
        <rFont val="Arial"/>
        <family val="2"/>
      </rPr>
      <t>nach gewählter Produktqualität</t>
    </r>
  </si>
  <si>
    <r>
      <t>PCF</t>
    </r>
    <r>
      <rPr>
        <b/>
        <vertAlign val="subscript"/>
        <sz val="10"/>
        <rFont val="Arial"/>
        <family val="2"/>
      </rPr>
      <t xml:space="preserve">i
</t>
    </r>
    <r>
      <rPr>
        <sz val="10"/>
        <rFont val="Arial"/>
        <family val="2"/>
      </rPr>
      <t>gemäß politischer Deckung</t>
    </r>
  </si>
  <si>
    <t xml:space="preserve"> 1 - 4</t>
  </si>
  <si>
    <t>./.</t>
  </si>
  <si>
    <t>1. Rate mit CE</t>
  </si>
  <si>
    <t>Liefer- bzw. Auszahlungsbeginn</t>
  </si>
  <si>
    <r>
      <t>Vorlaufzeit</t>
    </r>
    <r>
      <rPr>
        <i/>
        <sz val="10"/>
        <rFont val="Arial"/>
        <family val="2"/>
      </rPr>
      <t xml:space="preserve"> (in Monaten)</t>
    </r>
  </si>
  <si>
    <t>"Nicht-Standard"</t>
  </si>
  <si>
    <r>
      <t>Berechnung der Risikolaufzeit (</t>
    </r>
    <r>
      <rPr>
        <b/>
        <sz val="10"/>
        <color indexed="42"/>
        <rFont val="Symbol"/>
        <family val="1"/>
        <charset val="2"/>
      </rPr>
      <t>³</t>
    </r>
    <r>
      <rPr>
        <b/>
        <sz val="10"/>
        <color indexed="42"/>
        <rFont val="Arial"/>
        <family val="2"/>
      </rPr>
      <t xml:space="preserve"> 24 Monate) 
</t>
    </r>
    <r>
      <rPr>
        <sz val="10"/>
        <color indexed="42"/>
        <rFont val="Arial"/>
        <family val="2"/>
      </rPr>
      <t>für Kredit mit abweichendem Tilgungsprofil</t>
    </r>
  </si>
  <si>
    <r>
      <t xml:space="preserve">Risikolaufzeit </t>
    </r>
    <r>
      <rPr>
        <i/>
        <sz val="10"/>
        <rFont val="Arial"/>
        <family val="2"/>
      </rPr>
      <t>(in Jahren)</t>
    </r>
  </si>
  <si>
    <t>Tilgung</t>
  </si>
  <si>
    <t>Gewichtung</t>
  </si>
  <si>
    <t>Auswahl</t>
  </si>
  <si>
    <t>Zeitpunkt der Abtretung</t>
  </si>
  <si>
    <t>Datum der letzten Fälligkeit</t>
  </si>
  <si>
    <t>Kredit</t>
  </si>
  <si>
    <t xml:space="preserve">  =&gt;</t>
  </si>
  <si>
    <t>Berechnung:</t>
  </si>
  <si>
    <r>
      <t xml:space="preserve">mittlere gewogene Kreditlaufzeit </t>
    </r>
    <r>
      <rPr>
        <i/>
        <sz val="9"/>
        <rFont val="Arial"/>
        <family val="2"/>
      </rPr>
      <t>(Jahre)</t>
    </r>
  </si>
  <si>
    <r>
      <t>Vorlaufzeit</t>
    </r>
    <r>
      <rPr>
        <i/>
        <sz val="10"/>
        <rFont val="Arial"/>
        <family val="2"/>
      </rPr>
      <t xml:space="preserve"> </t>
    </r>
    <r>
      <rPr>
        <i/>
        <sz val="9"/>
        <rFont val="Arial"/>
        <family val="2"/>
      </rPr>
      <t>(in Monaten)</t>
    </r>
  </si>
  <si>
    <t>"Starting Point"</t>
  </si>
  <si>
    <t xml:space="preserve">Entgeltsatz </t>
  </si>
  <si>
    <t>Entgeltsatz</t>
  </si>
  <si>
    <t>Entgeltbetrag</t>
  </si>
  <si>
    <t>Länderkategorien</t>
  </si>
  <si>
    <t>Sicherheiten</t>
  </si>
  <si>
    <t>Telefon: +49 (0) 40 / 88 34 - 90 00</t>
  </si>
  <si>
    <t>Rückzahlungszeitraum</t>
  </si>
  <si>
    <r>
      <t xml:space="preserve">Risikolaufzeit </t>
    </r>
    <r>
      <rPr>
        <i/>
        <sz val="10"/>
        <rFont val="Arial"/>
        <family val="2"/>
      </rPr>
      <t>(in Jahren)</t>
    </r>
    <r>
      <rPr>
        <sz val="10"/>
        <rFont val="Arial"/>
        <family val="2"/>
      </rPr>
      <t>:</t>
    </r>
  </si>
  <si>
    <r>
      <t>Berücksichtigigung von Sicherheiten</t>
    </r>
    <r>
      <rPr>
        <sz val="10"/>
        <rFont val="Arial"/>
        <family val="2"/>
      </rPr>
      <t xml:space="preserve"> 
</t>
    </r>
    <r>
      <rPr>
        <sz val="8"/>
        <rFont val="Arial"/>
        <family val="2"/>
      </rPr>
      <t>(Bitte geben Sie einen Wert ein; max. 35%)</t>
    </r>
  </si>
  <si>
    <t>Abgetretener Kapitalbetrag</t>
  </si>
  <si>
    <r>
      <t xml:space="preserve">Risikolaufzeit </t>
    </r>
    <r>
      <rPr>
        <sz val="10"/>
        <rFont val="Symbol"/>
        <family val="1"/>
        <charset val="2"/>
      </rPr>
      <t xml:space="preserve">³ </t>
    </r>
    <r>
      <rPr>
        <sz val="10"/>
        <rFont val="Arial"/>
        <family val="2"/>
      </rPr>
      <t xml:space="preserve">2 Jahre </t>
    </r>
    <r>
      <rPr>
        <i/>
        <sz val="9"/>
        <rFont val="Arial"/>
        <family val="2"/>
      </rPr>
      <t>(in Jahren)</t>
    </r>
  </si>
  <si>
    <t xml:space="preserve">   Minderung des Entgeltbetrags um</t>
  </si>
  <si>
    <r>
      <t xml:space="preserve">mittlere gewogene Kreditlaufzeit 
</t>
    </r>
    <r>
      <rPr>
        <i/>
        <sz val="10"/>
        <color indexed="42"/>
        <rFont val="Arial"/>
        <family val="2"/>
      </rPr>
      <t>(in Jahren; ohne Vorlaufzeit)</t>
    </r>
    <r>
      <rPr>
        <sz val="10"/>
        <color indexed="42"/>
        <rFont val="Arial"/>
        <family val="2"/>
      </rPr>
      <t>:</t>
    </r>
  </si>
  <si>
    <t>in Jahren</t>
  </si>
  <si>
    <t>in Monaten</t>
  </si>
  <si>
    <t>quartalsweise</t>
  </si>
  <si>
    <t>viermonatlich</t>
  </si>
  <si>
    <t>zweimonatlich</t>
  </si>
  <si>
    <t>monatlich</t>
  </si>
  <si>
    <t>halbjährlich</t>
  </si>
  <si>
    <t>Anzahl Raten</t>
  </si>
  <si>
    <t>Monate zwischen den Raten</t>
  </si>
  <si>
    <t>Anzahl Raten p.a.</t>
  </si>
  <si>
    <t>Liste:</t>
  </si>
  <si>
    <t>Summe Tilgungen:</t>
  </si>
  <si>
    <t>Summe Gewichtungen:</t>
  </si>
  <si>
    <t>Abweichung</t>
  </si>
  <si>
    <t>Tilgungsplan:</t>
  </si>
  <si>
    <t>Nicht standardisierter Zahlungsplan (unregelmäßige Tilgung):</t>
  </si>
  <si>
    <t>Summe Entgelt</t>
  </si>
  <si>
    <t>Deckungsquote:</t>
  </si>
  <si>
    <t>SOV/CC0</t>
  </si>
  <si>
    <t>Prämiensätze (in %, in Abhängigkeit von Laufzeit ohne Risk Mitigation)</t>
  </si>
  <si>
    <t>Berechnung des Abschlages</t>
  </si>
  <si>
    <t xml:space="preserve">Prämiensatz für LK </t>
  </si>
  <si>
    <t>Differenz</t>
  </si>
  <si>
    <t xml:space="preserve">darauf Abschlag </t>
  </si>
  <si>
    <t xml:space="preserve">verminderter Prämiensatz für LK </t>
  </si>
  <si>
    <t>Vergleich</t>
  </si>
  <si>
    <t>OECD Prämienberechnung zum Vergleich!</t>
  </si>
  <si>
    <t>AWL:</t>
  </si>
  <si>
    <t>OECD-Prämiensystem
&lt; 2 Jahre ohne CE</t>
  </si>
  <si>
    <t xml:space="preserve">verminderter Prämiensatz, LK </t>
  </si>
  <si>
    <t>Vergleich:</t>
  </si>
  <si>
    <t>OECD-Prämiensystem
&lt; 2 Jahre mit CE</t>
  </si>
  <si>
    <t>Vergleich für LK</t>
  </si>
  <si>
    <t xml:space="preserve">BK2 </t>
  </si>
  <si>
    <t xml:space="preserve">BK4 </t>
  </si>
  <si>
    <t xml:space="preserve">KK2 </t>
  </si>
  <si>
    <r>
      <t xml:space="preserve">OECD-Prämiensystem 
</t>
    </r>
    <r>
      <rPr>
        <b/>
        <sz val="10"/>
        <color indexed="12"/>
        <rFont val="Arial"/>
        <family val="2"/>
      </rPr>
      <t>≥</t>
    </r>
    <r>
      <rPr>
        <b/>
        <sz val="8"/>
        <color indexed="12"/>
        <rFont val="Arial"/>
        <family val="2"/>
      </rPr>
      <t xml:space="preserve"> 2 Jahre, ohne CE</t>
    </r>
  </si>
  <si>
    <r>
      <t xml:space="preserve">OECD-Prämiensystem 
</t>
    </r>
    <r>
      <rPr>
        <b/>
        <sz val="10"/>
        <color indexed="12"/>
        <rFont val="Arial"/>
        <family val="2"/>
      </rPr>
      <t>≥</t>
    </r>
    <r>
      <rPr>
        <b/>
        <sz val="8"/>
        <color indexed="12"/>
        <rFont val="Arial"/>
        <family val="2"/>
      </rPr>
      <t xml:space="preserve"> 2 Jahre, mit CE</t>
    </r>
  </si>
  <si>
    <t xml:space="preserve">Entgeltformel deutsches System </t>
  </si>
  <si>
    <r>
      <t>Berechnung der Risikolaufzeit</t>
    </r>
    <r>
      <rPr>
        <b/>
        <sz val="10"/>
        <color indexed="42"/>
        <rFont val="Arial"/>
        <family val="2"/>
      </rPr>
      <t xml:space="preserve">
</t>
    </r>
  </si>
  <si>
    <t>Fälligkeit in Monaten nach Starting Point</t>
  </si>
  <si>
    <t xml:space="preserve">Bei nicht standardisiertem Zahlungsprofil (unregelmäßige oder nicht gleich hohe Tilgungen) müssen einzelne Raten eingegeben werden. Bitte wählen Sie bei der Tilgung "Nicht-Standard" aus, damit Ihre Eingaben in der Tabelle für die Berechnung herangezogen werden! Die Eingabe der einzelnen Raten können Sie in dieser Tabelle vornehmen. </t>
  </si>
  <si>
    <t>Für Ihren Ausdruck (Seiten 2 und 3):</t>
  </si>
  <si>
    <t>Plaus.</t>
  </si>
  <si>
    <t>Kreditbetrag</t>
  </si>
  <si>
    <t>Alle Angaben ohne Gewähr.</t>
  </si>
  <si>
    <t>ab 1.1.2013</t>
  </si>
  <si>
    <r>
      <t>MPR={[(ai*HOR+bi)*max(PCC,PCP)/0.95]*(1-LCF)]+</t>
    </r>
    <r>
      <rPr>
        <b/>
        <sz val="10"/>
        <color indexed="10"/>
        <rFont val="Calibri"/>
        <family val="2"/>
      </rPr>
      <t>[</t>
    </r>
    <r>
      <rPr>
        <b/>
        <sz val="10"/>
        <color indexed="62"/>
        <rFont val="Calibri"/>
        <family val="2"/>
      </rPr>
      <t>cin*PCC/0.95*HOR*(1-CEF)</t>
    </r>
    <r>
      <rPr>
        <b/>
        <sz val="10"/>
        <color indexed="10"/>
        <rFont val="Calibri"/>
        <family val="2"/>
      </rPr>
      <t>]</t>
    </r>
    <r>
      <rPr>
        <b/>
        <sz val="10"/>
        <color indexed="62"/>
        <rFont val="Calibri"/>
        <family val="2"/>
      </rPr>
      <t>}*QPFi*PCFi*BTSF</t>
    </r>
  </si>
  <si>
    <t>Anzahl zu berücksichtigende Monate:</t>
  </si>
  <si>
    <t>Anzahl Monate aus Jahresdifferenz:</t>
  </si>
  <si>
    <t>Ggf. Extra-Monat (mehr als 3-Tagel-Regel):</t>
  </si>
  <si>
    <t>Indikator "3-Tage-Regel":</t>
  </si>
  <si>
    <t>Tag Startdatum:</t>
  </si>
  <si>
    <t>Tag Enddatum:</t>
  </si>
  <si>
    <t>Differenz Monate:</t>
  </si>
  <si>
    <t>Berechnung der Vorlaufzeit</t>
  </si>
  <si>
    <t>Starting Point</t>
  </si>
  <si>
    <t>Allgemeine Informationen</t>
  </si>
  <si>
    <t>Entgelt :</t>
  </si>
  <si>
    <t>Entgelt (Sicherheit):</t>
  </si>
  <si>
    <t>mitfinanziert</t>
  </si>
  <si>
    <t>inkl. Zuschläge</t>
  </si>
  <si>
    <t>inkl. Zuschläge mitfinanziert</t>
  </si>
  <si>
    <t>Zuschlagssatz</t>
  </si>
  <si>
    <t>Entgeltberechnungs-Tool</t>
  </si>
  <si>
    <t>Sollten Sie keine Maus verwenden, aktivieren Sie bitte die Schaltfläche "Kommentare anzeigen" über das Excel-Menü "Überprüfen", um alle Eingabehilfen zu sehen.</t>
  </si>
  <si>
    <t>Bitte schließen Sie zunächst den Download des Tools ab und speichern Sie eine Kopie auf Ihrem Rechner. Anderenfalls können die Berechnungen möglicherweise nicht richtig durchgeführt werden. Sollten dennoch Probleme bei der Berechnung entstehen, vergewissern Sie sich bitte, dass die automatische Berechnung eingeschaltet ist, oder berechnen Sie mit F9 die Mappe neu.</t>
  </si>
  <si>
    <t>Drei-Tage-Regel:</t>
  </si>
  <si>
    <t>mit</t>
  </si>
  <si>
    <t>ohne</t>
  </si>
  <si>
    <t>Tilgungszeit</t>
  </si>
  <si>
    <t>1/2 Vorlaufzeit:</t>
  </si>
  <si>
    <t>Laufzeit gesamt (Monate)</t>
  </si>
  <si>
    <t>Prämiensätze (in %, in Abhängigkeit von Laufzeit ohne Risk Mitigation) für Akkreditivbestätigungsrisiken</t>
  </si>
  <si>
    <t>Akkreditivbestätigungsrisiken</t>
  </si>
  <si>
    <t>Zusatzentgelt Aufhebung Kursbegrenzung / Fremdwährungsdeckung</t>
  </si>
  <si>
    <t>Zusatzentgelte</t>
  </si>
  <si>
    <t>Faktor SOV+</t>
  </si>
  <si>
    <t>Faktor SOV-</t>
  </si>
  <si>
    <t>Summe Entgelt/Kreditbetrag:</t>
  </si>
  <si>
    <r>
      <t xml:space="preserve">Unter bestimmten Umständen kann sich das Entgelt vermindern, wenn Sicherheiten (insbesondere Pfandrechte) vorliegen. </t>
    </r>
    <r>
      <rPr>
        <sz val="9"/>
        <rFont val="Arial"/>
        <family val="2"/>
      </rPr>
      <t>Ob und wieweit eine Sicherheit entgeltwirksam berücksichtigt werden kann, kann erst im Antragsverfahren geprüft werden!</t>
    </r>
  </si>
  <si>
    <r>
      <t xml:space="preserve">Mit diesem Arbeitsblatt können Sie das Entgelt für eine Verbriefungsgarantie im Zusammenhang mit Ihrem Ungebundenen Finanzkredit berechnen. Bitte tragen Sie hierzu die Daten Ihres Geschäftes in </t>
    </r>
    <r>
      <rPr>
        <b/>
        <sz val="10"/>
        <color rgb="FF8E5314"/>
        <rFont val="Arial"/>
        <family val="2"/>
      </rPr>
      <t>die braunen Felder</t>
    </r>
    <r>
      <rPr>
        <sz val="10"/>
        <color indexed="60"/>
        <rFont val="Arial"/>
        <family val="2"/>
      </rPr>
      <t xml:space="preserve"> </t>
    </r>
    <r>
      <rPr>
        <sz val="10"/>
        <color indexed="8"/>
        <rFont val="Arial"/>
        <family val="2"/>
      </rPr>
      <t>ein.</t>
    </r>
  </si>
  <si>
    <t>Bitte schließen Sie zunächst den Download des Tools ab und speichern Sie eine Kopie auf Ihrem Rechner. Anderenfalls können die Berechnungen möglicherweise nicht richtig durchgeführt werden.</t>
  </si>
  <si>
    <t xml:space="preserve">   </t>
  </si>
  <si>
    <t>Verbriefungsgarantie 
(Abtretung bei/nach Vollauszahlung)</t>
  </si>
  <si>
    <r>
      <t xml:space="preserve">verbleibende Risikolaufzeit </t>
    </r>
    <r>
      <rPr>
        <i/>
        <sz val="10"/>
        <rFont val="Arial"/>
        <family val="2"/>
      </rPr>
      <t>(in Jahren)</t>
    </r>
  </si>
  <si>
    <t>Verbriefungsgarantie 
(vor erster Auszahlung)</t>
  </si>
  <si>
    <r>
      <t xml:space="preserve">Risikolaufzeit des Kredites </t>
    </r>
    <r>
      <rPr>
        <i/>
        <sz val="10"/>
        <rFont val="Arial"/>
        <family val="2"/>
      </rPr>
      <t>(in Jahren)</t>
    </r>
  </si>
  <si>
    <t>Bitte beachten Sie, dass es sich bei der Entgeltberechnung an dieser Stelle lediglich um eine Indikation handelt, 
die nicht verbindlich ist.</t>
  </si>
  <si>
    <r>
      <t xml:space="preserve">Die </t>
    </r>
    <r>
      <rPr>
        <b/>
        <sz val="10"/>
        <color theme="3" tint="-0.249977111117893"/>
        <rFont val="Arial"/>
        <family val="2"/>
      </rPr>
      <t xml:space="preserve">Länderkategorie </t>
    </r>
    <r>
      <rPr>
        <sz val="10"/>
        <color theme="3" tint="-0.249977111117893"/>
        <rFont val="Arial"/>
        <family val="2"/>
      </rPr>
      <t xml:space="preserve">ist ein Indikator für die Entwicklung eines Landes in politischer und wirtschaftlicher Hinsicht. Die Einstufung eines Landes wird OECD-weit verbindlich festgelegt. </t>
    </r>
    <r>
      <rPr>
        <b/>
        <sz val="10"/>
        <color theme="3" tint="-0.249977111117893"/>
        <rFont val="Arial"/>
        <family val="2"/>
      </rPr>
      <t xml:space="preserve">Hocheinkommensländer der OECD und der Eurozone </t>
    </r>
    <r>
      <rPr>
        <sz val="10"/>
        <color theme="3" tint="-0.249977111117893"/>
        <rFont val="Arial"/>
        <family val="2"/>
      </rPr>
      <t>werden allerdings von der OECD nicht eingestuft.  Für diese Länder sowie für Länder der Kategorie 0 gelten seit 1. Februar 2017 bei Forderungsdeckungen mit Laufzeiten ab zwei Jahren besondere Mindestprämienregelungen des OECD-Konsensus. Ein Berechnungstool ist bei der OECD verfügbar. Bitte sprechen Sie uns hierfür an!</t>
    </r>
  </si>
  <si>
    <r>
      <t>Das Entgeltberechnungs-Tool ist in diesem</t>
    </r>
    <r>
      <rPr>
        <b/>
        <sz val="10"/>
        <color indexed="42"/>
        <rFont val="Arial"/>
        <family val="2"/>
      </rPr>
      <t xml:space="preserve"> Format bewusst einfach - ohne Excel-Makros - </t>
    </r>
    <r>
      <rPr>
        <sz val="10"/>
        <color indexed="42"/>
        <rFont val="Arial"/>
        <family val="2"/>
      </rPr>
      <t>gehalten.</t>
    </r>
  </si>
  <si>
    <t>Entgelt Januar 2020</t>
  </si>
  <si>
    <t xml:space="preserve"> © Copyright 2020 Euler Hermes Aktiengesellschaft – Alle Inhalte (insbesondere Texte, Grafiken, Rechner) sind urheberrechtlich geschützt. Sämtliche Rechte bleiben vorbehalten. </t>
  </si>
  <si>
    <r>
      <t>Mit diesem Arbeitsblatt können Sie das Entgelt für Ihren Ungebundenen Finanzkredit in den Ländern der Kategorie 1 - 7 berechnen. Bitte tragen Sie hierzu die Daten Ihres Geschäftes in die</t>
    </r>
    <r>
      <rPr>
        <b/>
        <sz val="10"/>
        <color theme="9" tint="-0.499984740745262"/>
        <rFont val="Arial"/>
        <family val="2"/>
      </rPr>
      <t xml:space="preserve"> braun hinterlegten Felder</t>
    </r>
    <r>
      <rPr>
        <sz val="10"/>
        <color indexed="42"/>
        <rFont val="Arial"/>
        <family val="2"/>
      </rPr>
      <t xml:space="preserve"> ein.</t>
    </r>
  </si>
  <si>
    <r>
      <t>In der rechten Tabelle wird die</t>
    </r>
    <r>
      <rPr>
        <b/>
        <sz val="10"/>
        <rFont val="Arial"/>
        <family val="2"/>
      </rPr>
      <t xml:space="preserve"> Risikolaufzeit</t>
    </r>
    <r>
      <rPr>
        <sz val="10"/>
        <rFont val="Arial"/>
        <family val="2"/>
      </rPr>
      <t xml:space="preserve"> berechnet. Die Berechnung können Sie mit der Eingabe des Rückzahlungszeitraumes (in Monaten oder Jahren) sowie der Auswahl der Tilgungsabstände vornehmen. Für den Rückzahlungszeitraum werden nur Eingaben von mindestens 2 Jahren bis max. 18 Jahre für die Berechnung herangezogen.</t>
    </r>
  </si>
  <si>
    <r>
      <t xml:space="preserve">Zur Berechnung der Risikolaufzeit wird zunächst die </t>
    </r>
    <r>
      <rPr>
        <b/>
        <sz val="10"/>
        <rFont val="Arial"/>
        <family val="2"/>
      </rPr>
      <t>Vorlaufzeit</t>
    </r>
    <r>
      <rPr>
        <sz val="10"/>
        <rFont val="Arial"/>
        <family val="2"/>
      </rPr>
      <t xml:space="preserve"> (in Monaten) benötigt. Die Vorlaufzeit bestimmt sich durch den Zeitraum, der zwischen </t>
    </r>
    <r>
      <rPr>
        <b/>
        <sz val="10"/>
        <rFont val="Arial"/>
        <family val="2"/>
      </rPr>
      <t>Auszahlungsbeginn</t>
    </r>
    <r>
      <rPr>
        <sz val="10"/>
        <rFont val="Arial"/>
        <family val="2"/>
      </rPr>
      <t xml:space="preserve"> und Beginn der Laufzeit der ersten Tilgungsrate ("</t>
    </r>
    <r>
      <rPr>
        <b/>
        <sz val="10"/>
        <rFont val="Arial"/>
        <family val="2"/>
      </rPr>
      <t>Starting Point</t>
    </r>
    <r>
      <rPr>
        <sz val="10"/>
        <rFont val="Arial"/>
        <family val="2"/>
      </rPr>
      <t xml:space="preserve">") des Kredits liegt. Sie können diese direkt in der linken Tabelle eingeben. 
</t>
    </r>
  </si>
  <si>
    <t>PC0</t>
  </si>
  <si>
    <t>PC1</t>
  </si>
  <si>
    <t>PC2</t>
  </si>
  <si>
    <t>PC3</t>
  </si>
  <si>
    <t>PC4</t>
  </si>
  <si>
    <t>PC5</t>
  </si>
  <si>
    <t>Projektkategorie</t>
  </si>
  <si>
    <t>PC 1</t>
  </si>
  <si>
    <t>PC 2</t>
  </si>
  <si>
    <t>PC 3</t>
  </si>
  <si>
    <t>PC 4</t>
  </si>
  <si>
    <t>PC 5</t>
  </si>
  <si>
    <t>Entgeltsatzanteil für Projektrisiko</t>
  </si>
  <si>
    <t xml:space="preserve">Auszahlungsbeginn </t>
  </si>
  <si>
    <t>Neben der Risikolaufzeit sind die Länder- bzw. Projektkategorie sowie eventuell Sicherheiten die wichtigsten Faktoren zur Berechnung des Entgelts.</t>
  </si>
  <si>
    <r>
      <t xml:space="preserve">Die </t>
    </r>
    <r>
      <rPr>
        <b/>
        <sz val="10"/>
        <color indexed="42"/>
        <rFont val="Arial"/>
        <family val="2"/>
      </rPr>
      <t>Bonität des Darlehensnehmers</t>
    </r>
    <r>
      <rPr>
        <sz val="10"/>
        <color indexed="42"/>
        <rFont val="Arial"/>
        <family val="2"/>
      </rPr>
      <t xml:space="preserve"> oder Garanten ist die Grundlage für die Eingruppierung in eine Projektkategorie. Die Projektkategorien sind OECD-weit vorgegeben und orientieren sich an vergleichbaren Ausfallwahrscheinlichkeiten externer Ratings. Im deutschen System beruht die Einstufung auf einer individuellen Analyse des Käufers.</t>
    </r>
  </si>
  <si>
    <t>Zusätzlich zur Bonität des Schuldners stellen Sicherheiten (insbesondere Pfandrechte) einen wichtigen Aspekt für die Risikobeurteilung dar. So können Sicherheiten dazu führen, dass ein Projekt deutlich besser beurteilt wird und ein geringeres Entgelt zu zahlen ist. Ob und inwieweit für Sicherheiten Entgeltabschläge auf den im Entgeltsatz enthaltenen Projektrisikoanteil berücksichtigt werden können, kann erst im Antragsverfahren entschieden werden.</t>
  </si>
  <si>
    <t>Die Anzahl der Projektkategorien variiert über die Länderkategorien 1 bis 7: In den Länderkategorien 1 bis 4 stehen die Projektkategorien PC0-PC5, in Länderkategorie 5 die Projektkategorien PC0-PC4, in Länderkategorie 6 die Projektkategorien PC0-PC3 und in Länderkategorie 7 die Projektkategorien PC0-PC2 zur Verfügung.</t>
  </si>
  <si>
    <t xml:space="preserve">Entgeltabschläge für das Projektrisiko sind nur für die Projektkategorien PC1-PC5 zulässig! Üblicherweise werden für dingliche Sicherheiten (Pfandrechte) zwischen 7,5% und 15% gewährt. Höhere Abschläge sind bei besonderen Besicherungskonzepten möglich. </t>
  </si>
  <si>
    <t>Projektkategorien</t>
  </si>
  <si>
    <t>Darüber hinaus gibt es zwei Kategorien für staatliche Schuldner (SOV; SOV-) und eine Kategorie für einen privaten Schuldner, der besser ist als der Staat (SOV+): Die Projektkategorie SOV wird für Deckungen mit der Zentralbank oder dem Finanzministerium als Schuldner und die Projektkategorie SOV- für Deckungen mit sonstigen staatlichen Schuldnern angewendet. Die Kategorie SOV+ kommt nur in Ausnahmefällen zur Anwendung, wenn das externe Rating eines privaten Schuldners besser ist als das des Staates, in dem er seinen Hauptsitz hat.</t>
  </si>
  <si>
    <t xml:space="preserve">Seit dem 1. September 2011 hat Deutschland das OECD-Entgeltsystem für den Bereich der Exportkreditgarantien eingeführt, bei dem nicht nur die Länder- sondern auch die Käuferkategorien OECD-weit vereinheitlicht sind. Die Rahmenbedingungen bei der Übernahme von UFK-Garantien unterliegen nicht den Vorgaben der OECD, sind diesen aber angelehnt, so dass bei der Entgeltberechnung vergleichbare Kriterien heranzgezogen werden. Die für UFK-Garantien verwendeten Projektgarantien (PC) sind analog zu den Käuferkategorien (CC) im Bereich der Exportkreditgarantien zu verstehen. Das angepasste UFK-Entgeltsystem besteht seit dem 15. Januar 2020.  </t>
  </si>
  <si>
    <r>
      <t>Sofern in gleich hohen Raten gezahlt wird, stehen Ihnen die Auswahlmöglichkeiten von halbjährlicher bis monatlicher Tilgung zur Verfügung. 
Liegen keine gleich hohen Raten vor, wählen Sie bitte bei Tilgung "</t>
    </r>
    <r>
      <rPr>
        <b/>
        <sz val="10"/>
        <rFont val="Arial"/>
        <family val="2"/>
      </rPr>
      <t>Nicht-Standard</t>
    </r>
    <r>
      <rPr>
        <sz val="10"/>
        <rFont val="Arial"/>
        <family val="2"/>
      </rPr>
      <t xml:space="preserve">" aus und geben in der Tabelle rechts die Tilgung ratenweise nach dem individuellen Zahlungsplan ein. Diese Eingaben werden jedoch nur dann berücksichtigt, wenn Sie "Nicht-Standard" ausgewählt haben!
Die berechnete Risikolaufzeit wird nicht gerundet, aber nur bis vier Nachkommastellen angezeigt, und automatisch in die Berechnung übertragen. </t>
    </r>
  </si>
  <si>
    <t>gültig ab Januar 2020 - ohne Gewähr</t>
  </si>
  <si>
    <r>
      <t xml:space="preserve">Berechnung der Vorlaufzeit                                    </t>
    </r>
    <r>
      <rPr>
        <b/>
        <sz val="10"/>
        <color theme="1"/>
        <rFont val="Arial"/>
        <family val="2"/>
      </rPr>
      <t xml:space="preserve"> </t>
    </r>
    <r>
      <rPr>
        <b/>
        <sz val="10"/>
        <color theme="3"/>
        <rFont val="Arial"/>
        <family val="2"/>
      </rPr>
      <t xml:space="preserve"> </t>
    </r>
    <r>
      <rPr>
        <b/>
        <sz val="10"/>
        <color theme="3" tint="-0.249977111117893"/>
        <rFont val="Arial"/>
        <family val="2"/>
      </rPr>
      <t xml:space="preserve"> [dd.mm.yyyy]</t>
    </r>
    <r>
      <rPr>
        <sz val="10"/>
        <rFont val="Arial"/>
        <family val="2"/>
      </rPr>
      <t xml:space="preserve">
</t>
    </r>
  </si>
  <si>
    <r>
      <t>Zur Berechnung der Risikolaufzeit wird zunächst die Vorlaufzeit (in Monaten) benötigt. Sie können diese in der Tabelle links oben berechnen oder eingeben. Für die Berechnung der Vorlaufzeit geben Sie bitte den Zeitpunkt der ersten Auszahlung aus dem Kredit sowie den Beginn der Kreditlaufzeit ("</t>
    </r>
    <r>
      <rPr>
        <b/>
        <sz val="10"/>
        <rFont val="Arial"/>
        <family val="2"/>
      </rPr>
      <t>Starting Point</t>
    </r>
    <r>
      <rPr>
        <sz val="10"/>
        <rFont val="Arial"/>
        <family val="2"/>
      </rPr>
      <t xml:space="preserve">") an. Der Beginn der Kreditlaufzeit darf nicht vor Auszahlungsbeginn liegen. Auf der rechten Seite wird die </t>
    </r>
    <r>
      <rPr>
        <b/>
        <sz val="10"/>
        <rFont val="Arial"/>
        <family val="2"/>
      </rPr>
      <t>Risikolaufzeit</t>
    </r>
    <r>
      <rPr>
        <sz val="10"/>
        <rFont val="Arial"/>
        <family val="2"/>
      </rPr>
      <t xml:space="preserve"> berechnet. Die Berechnung können Sie für alle Kredite mit der Eingabe des Rückzahlungszeitraumes (in Monaten oder Jahren) sowie der Auswahl der Tilgungsabstände vornehmen. Für den Rückzahlungszeitraum werden nur Eingaben von mindestens 2 Jahren bis max. 18 Jahre für die Berechnung herangezogen.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</si>
</sst>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64" formatCode="_-* #,##0.00\ _€_-;\-* #,##0.00\ _€_-;_-* &quot;-&quot;??\ _€_-;_-@_-"/>
    <numFmt numFmtId="165" formatCode="_-* #,##0\ _E_U_R_-;\-* #,##0\ _E_U_R_-;_-* &quot;-&quot;\ _E_U_R_-;_-@_-"/>
    <numFmt numFmtId="166" formatCode="_-* #,##0.00\ _E_U_R_-;\-* #,##0.00\ _E_U_R_-;_-* &quot;-&quot;??\ _E_U_R_-;_-@_-"/>
    <numFmt numFmtId="167" formatCode="dd/mm/yyyy;@"/>
    <numFmt numFmtId="168" formatCode="#,##0.00_ ;[Red]\-#,##0.00\ "/>
    <numFmt numFmtId="169" formatCode="0.0000"/>
    <numFmt numFmtId="170" formatCode="0.00000"/>
    <numFmt numFmtId="171" formatCode="0.000"/>
    <numFmt numFmtId="172" formatCode="#,##0_ ;[Red]\-#,##0\ "/>
    <numFmt numFmtId="173" formatCode="0.0%"/>
    <numFmt numFmtId="174" formatCode="0.0000%"/>
    <numFmt numFmtId="175" formatCode="#,##0.0000_ ;[Red]\-#,##0.0000\ "/>
    <numFmt numFmtId="176" formatCode="0_ ;[Red]\-0\ "/>
    <numFmt numFmtId="177" formatCode="#,##0.00_ ;\-#,##0.00\ "/>
    <numFmt numFmtId="178" formatCode="#,##0.000000_ ;[Red]\-#,##0.000000\ "/>
    <numFmt numFmtId="179" formatCode="0.000%"/>
    <numFmt numFmtId="180" formatCode="0.00000%"/>
    <numFmt numFmtId="181" formatCode="0.000000"/>
    <numFmt numFmtId="182" formatCode="_-* #,##0\ _€_-;\-* #,##0\ _€_-;_-* &quot;-&quot;\ _€_-;_-@_-"/>
  </numFmts>
  <fonts count="83" x14ac:knownFonts="1">
    <font>
      <sz val="11"/>
      <name val="Arial"/>
    </font>
    <font>
      <sz val="11"/>
      <name val="Arial"/>
      <family val="2"/>
    </font>
    <font>
      <b/>
      <sz val="10"/>
      <name val="Arial"/>
      <family val="2"/>
    </font>
    <font>
      <b/>
      <sz val="12"/>
      <name val="Arial"/>
      <family val="2"/>
    </font>
    <font>
      <sz val="10"/>
      <name val="Arial"/>
      <family val="2"/>
    </font>
    <font>
      <u/>
      <sz val="10"/>
      <color indexed="12"/>
      <name val="Arial"/>
      <family val="2"/>
    </font>
    <font>
      <sz val="8"/>
      <name val="Arial"/>
      <family val="2"/>
    </font>
    <font>
      <b/>
      <sz val="10"/>
      <name val="Arial"/>
      <family val="2"/>
    </font>
    <font>
      <sz val="10"/>
      <color indexed="10"/>
      <name val="Arial"/>
      <family val="2"/>
    </font>
    <font>
      <sz val="8"/>
      <color indexed="81"/>
      <name val="Tahoma"/>
      <family val="2"/>
    </font>
    <font>
      <sz val="11"/>
      <color indexed="9"/>
      <name val="Arial"/>
      <family val="2"/>
    </font>
    <font>
      <b/>
      <sz val="9"/>
      <name val="Arial"/>
      <family val="2"/>
    </font>
    <font>
      <i/>
      <sz val="10"/>
      <name val="Arial"/>
      <family val="2"/>
    </font>
    <font>
      <b/>
      <sz val="10"/>
      <color indexed="42"/>
      <name val="Arial"/>
      <family val="2"/>
    </font>
    <font>
      <b/>
      <sz val="10"/>
      <color indexed="42"/>
      <name val="Arial"/>
      <family val="2"/>
    </font>
    <font>
      <sz val="12"/>
      <color indexed="42"/>
      <name val="Arial"/>
      <family val="2"/>
    </font>
    <font>
      <sz val="10"/>
      <color indexed="42"/>
      <name val="Arial"/>
      <family val="2"/>
    </font>
    <font>
      <sz val="11"/>
      <color indexed="42"/>
      <name val="Arial"/>
      <family val="2"/>
    </font>
    <font>
      <i/>
      <sz val="10"/>
      <name val="Arial"/>
      <family val="2"/>
    </font>
    <font>
      <b/>
      <sz val="11"/>
      <name val="Arial"/>
      <family val="2"/>
    </font>
    <font>
      <b/>
      <sz val="10"/>
      <color indexed="12"/>
      <name val="Arial"/>
      <family val="2"/>
    </font>
    <font>
      <b/>
      <sz val="8"/>
      <color indexed="12"/>
      <name val="Arial"/>
      <family val="2"/>
    </font>
    <font>
      <sz val="10"/>
      <name val="Arial"/>
      <family val="2"/>
    </font>
    <font>
      <b/>
      <i/>
      <sz val="11"/>
      <name val="Arial"/>
      <family val="2"/>
    </font>
    <font>
      <sz val="11"/>
      <color indexed="8"/>
      <name val="Calibri"/>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sz val="11"/>
      <name val="Arial"/>
      <family val="2"/>
    </font>
    <font>
      <b/>
      <sz val="18"/>
      <color indexed="56"/>
      <name val="Cambria"/>
      <family val="2"/>
    </font>
    <font>
      <sz val="11"/>
      <color indexed="10"/>
      <name val="Calibri"/>
      <family val="2"/>
    </font>
    <font>
      <b/>
      <sz val="8"/>
      <name val="Arial"/>
      <family val="2"/>
    </font>
    <font>
      <sz val="8"/>
      <name val="Arial"/>
      <family val="2"/>
    </font>
    <font>
      <i/>
      <sz val="11"/>
      <name val="Arial"/>
      <family val="2"/>
    </font>
    <font>
      <b/>
      <vertAlign val="subscript"/>
      <sz val="10"/>
      <name val="Arial"/>
      <family val="2"/>
    </font>
    <font>
      <sz val="10"/>
      <color indexed="22"/>
      <name val="Arial"/>
      <family val="2"/>
    </font>
    <font>
      <sz val="10"/>
      <color indexed="60"/>
      <name val="Arial"/>
      <family val="2"/>
    </font>
    <font>
      <sz val="8"/>
      <color indexed="42"/>
      <name val="Arial"/>
      <family val="2"/>
    </font>
    <font>
      <sz val="10"/>
      <name val="Symbol"/>
      <family val="1"/>
      <charset val="2"/>
    </font>
    <font>
      <b/>
      <sz val="10"/>
      <color indexed="42"/>
      <name val="Symbol"/>
      <family val="1"/>
      <charset val="2"/>
    </font>
    <font>
      <i/>
      <sz val="10"/>
      <color indexed="42"/>
      <name val="Arial"/>
      <family val="2"/>
    </font>
    <font>
      <sz val="10"/>
      <color indexed="42"/>
      <name val="Arial"/>
      <family val="2"/>
    </font>
    <font>
      <sz val="9"/>
      <name val="Arial"/>
      <family val="2"/>
    </font>
    <font>
      <sz val="9"/>
      <color indexed="42"/>
      <name val="Arial"/>
      <family val="2"/>
    </font>
    <font>
      <b/>
      <sz val="11"/>
      <color indexed="42"/>
      <name val="Arial"/>
      <family val="2"/>
    </font>
    <font>
      <i/>
      <sz val="9"/>
      <name val="Arial"/>
      <family val="2"/>
    </font>
    <font>
      <b/>
      <sz val="10"/>
      <color indexed="9"/>
      <name val="Arial"/>
      <family val="2"/>
    </font>
    <font>
      <sz val="10"/>
      <color indexed="9"/>
      <name val="Arial"/>
      <family val="2"/>
    </font>
    <font>
      <b/>
      <sz val="8"/>
      <color indexed="81"/>
      <name val="Tahoma"/>
      <family val="2"/>
    </font>
    <font>
      <sz val="10"/>
      <color indexed="46"/>
      <name val="Arial"/>
      <family val="2"/>
    </font>
    <font>
      <u/>
      <sz val="10"/>
      <name val="Arial"/>
      <family val="2"/>
    </font>
    <font>
      <b/>
      <sz val="10"/>
      <color indexed="60"/>
      <name val="Arial"/>
      <family val="2"/>
    </font>
    <font>
      <b/>
      <sz val="11"/>
      <color indexed="42"/>
      <name val="Arial"/>
      <family val="2"/>
    </font>
    <font>
      <b/>
      <sz val="9"/>
      <color indexed="60"/>
      <name val="Arial"/>
      <family val="2"/>
    </font>
    <font>
      <b/>
      <sz val="10"/>
      <color indexed="16"/>
      <name val="Arial"/>
      <family val="2"/>
    </font>
    <font>
      <b/>
      <sz val="10"/>
      <color indexed="22"/>
      <name val="Arial"/>
      <family val="2"/>
    </font>
    <font>
      <sz val="10"/>
      <color indexed="41"/>
      <name val="Arial"/>
      <family val="2"/>
    </font>
    <font>
      <b/>
      <sz val="10"/>
      <color indexed="41"/>
      <name val="Arial"/>
      <family val="2"/>
    </font>
    <font>
      <b/>
      <sz val="10"/>
      <color indexed="62"/>
      <name val="Calibri"/>
      <family val="2"/>
    </font>
    <font>
      <b/>
      <sz val="10"/>
      <color indexed="10"/>
      <name val="Calibri"/>
      <family val="2"/>
    </font>
    <font>
      <sz val="10"/>
      <color theme="3" tint="-0.249977111117893"/>
      <name val="Arial"/>
      <family val="2"/>
    </font>
    <font>
      <b/>
      <sz val="10"/>
      <color theme="3" tint="-0.249977111117893"/>
      <name val="Arial"/>
      <family val="2"/>
    </font>
    <font>
      <sz val="10"/>
      <color theme="0"/>
      <name val="Arial"/>
      <family val="2"/>
    </font>
    <font>
      <sz val="10"/>
      <color rgb="FF000000"/>
      <name val="Arial"/>
      <family val="2"/>
    </font>
    <font>
      <b/>
      <sz val="10"/>
      <color rgb="FF8E5314"/>
      <name val="Arial"/>
      <family val="2"/>
    </font>
    <font>
      <sz val="10"/>
      <color indexed="8"/>
      <name val="Arial"/>
      <family val="2"/>
    </font>
    <font>
      <sz val="11"/>
      <color rgb="FF733B1D"/>
      <name val="Arial"/>
      <family val="2"/>
    </font>
    <font>
      <b/>
      <sz val="10"/>
      <color theme="9" tint="-0.499984740745262"/>
      <name val="Arial"/>
      <family val="2"/>
    </font>
    <font>
      <sz val="11"/>
      <color theme="9" tint="-0.499984740745262"/>
      <name val="Arial"/>
      <family val="2"/>
    </font>
    <font>
      <b/>
      <sz val="10"/>
      <color theme="0"/>
      <name val="Arial"/>
      <family val="2"/>
    </font>
    <font>
      <b/>
      <sz val="10"/>
      <color theme="1"/>
      <name val="Arial"/>
      <family val="2"/>
    </font>
    <font>
      <b/>
      <sz val="10"/>
      <color theme="3"/>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theme="4" tint="0.79998168889431442"/>
        <bgColor indexed="64"/>
      </patternFill>
    </fill>
    <fill>
      <patternFill patternType="solid">
        <fgColor rgb="FFD8D6BD"/>
        <bgColor indexed="64"/>
      </patternFill>
    </fill>
    <fill>
      <patternFill patternType="solid">
        <fgColor theme="9" tint="-0.499984740745262"/>
        <bgColor indexed="64"/>
      </patternFill>
    </fill>
  </fills>
  <borders count="139">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44"/>
      </left>
      <right/>
      <top/>
      <bottom/>
      <diagonal/>
    </border>
    <border>
      <left style="thin">
        <color indexed="44"/>
      </left>
      <right/>
      <top/>
      <bottom style="thin">
        <color indexed="44"/>
      </bottom>
      <diagonal/>
    </border>
    <border>
      <left style="thin">
        <color indexed="44"/>
      </left>
      <right style="thin">
        <color indexed="44"/>
      </right>
      <top/>
      <bottom style="thin">
        <color indexed="44"/>
      </bottom>
      <diagonal/>
    </border>
    <border>
      <left/>
      <right style="thin">
        <color indexed="44"/>
      </right>
      <top/>
      <bottom style="thin">
        <color indexed="44"/>
      </bottom>
      <diagonal/>
    </border>
    <border>
      <left style="thin">
        <color indexed="44"/>
      </left>
      <right/>
      <top style="thin">
        <color indexed="44"/>
      </top>
      <bottom/>
      <diagonal/>
    </border>
    <border>
      <left style="thin">
        <color indexed="44"/>
      </left>
      <right style="thin">
        <color indexed="44"/>
      </right>
      <top style="thin">
        <color indexed="44"/>
      </top>
      <bottom/>
      <diagonal/>
    </border>
    <border>
      <left style="thin">
        <color indexed="44"/>
      </left>
      <right style="thin">
        <color indexed="44"/>
      </right>
      <top/>
      <bottom/>
      <diagonal/>
    </border>
    <border>
      <left/>
      <right style="thin">
        <color indexed="44"/>
      </right>
      <top style="thin">
        <color indexed="44"/>
      </top>
      <bottom style="thin">
        <color indexed="44"/>
      </bottom>
      <diagonal/>
    </border>
    <border>
      <left style="thin">
        <color indexed="44"/>
      </left>
      <right/>
      <top style="thin">
        <color indexed="44"/>
      </top>
      <bottom style="thin">
        <color indexed="44"/>
      </bottom>
      <diagonal/>
    </border>
    <border>
      <left style="thin">
        <color indexed="44"/>
      </left>
      <right style="thin">
        <color indexed="44"/>
      </right>
      <top style="thin">
        <color indexed="44"/>
      </top>
      <bottom style="thin">
        <color indexed="44"/>
      </bottom>
      <diagonal/>
    </border>
    <border>
      <left style="medium">
        <color indexed="64"/>
      </left>
      <right style="medium">
        <color indexed="64"/>
      </right>
      <top style="medium">
        <color indexed="64"/>
      </top>
      <bottom style="medium">
        <color indexed="64"/>
      </bottom>
      <diagonal/>
    </border>
    <border>
      <left style="double">
        <color indexed="64"/>
      </left>
      <right/>
      <top/>
      <bottom style="double">
        <color indexed="64"/>
      </bottom>
      <diagonal/>
    </border>
    <border>
      <left/>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top/>
      <bottom/>
      <diagonal/>
    </border>
    <border>
      <left/>
      <right/>
      <top style="thin">
        <color indexed="44"/>
      </top>
      <bottom/>
      <diagonal/>
    </border>
    <border>
      <left/>
      <right style="thin">
        <color indexed="44"/>
      </right>
      <top style="thin">
        <color indexed="44"/>
      </top>
      <bottom/>
      <diagonal/>
    </border>
    <border>
      <left/>
      <right style="thin">
        <color indexed="44"/>
      </right>
      <top/>
      <bottom/>
      <diagonal/>
    </border>
    <border>
      <left/>
      <right/>
      <top style="thin">
        <color indexed="44"/>
      </top>
      <bottom style="thin">
        <color indexed="44"/>
      </bottom>
      <diagonal/>
    </border>
    <border>
      <left/>
      <right style="thin">
        <color indexed="44"/>
      </right>
      <top style="thin">
        <color indexed="44"/>
      </top>
      <bottom style="double">
        <color indexed="44"/>
      </bottom>
      <diagonal/>
    </border>
    <border>
      <left style="thin">
        <color indexed="64"/>
      </left>
      <right style="thin">
        <color indexed="64"/>
      </right>
      <top style="thin">
        <color indexed="64"/>
      </top>
      <bottom/>
      <diagonal/>
    </border>
    <border>
      <left style="medium">
        <color indexed="64"/>
      </left>
      <right style="thin">
        <color indexed="44"/>
      </right>
      <top/>
      <bottom style="thin">
        <color indexed="44"/>
      </bottom>
      <diagonal/>
    </border>
    <border>
      <left/>
      <right style="medium">
        <color indexed="64"/>
      </right>
      <top/>
      <bottom style="thin">
        <color indexed="44"/>
      </bottom>
      <diagonal/>
    </border>
    <border>
      <left style="medium">
        <color indexed="64"/>
      </left>
      <right style="thin">
        <color indexed="44"/>
      </right>
      <top/>
      <bottom style="medium">
        <color indexed="64"/>
      </bottom>
      <diagonal/>
    </border>
    <border>
      <left/>
      <right style="thin">
        <color indexed="44"/>
      </right>
      <top/>
      <bottom style="medium">
        <color indexed="64"/>
      </bottom>
      <diagonal/>
    </border>
    <border>
      <left style="thin">
        <color indexed="44"/>
      </left>
      <right/>
      <top/>
      <bottom style="medium">
        <color indexed="64"/>
      </bottom>
      <diagonal/>
    </border>
    <border>
      <left/>
      <right style="medium">
        <color indexed="64"/>
      </right>
      <top style="thin">
        <color indexed="44"/>
      </top>
      <bottom style="medium">
        <color indexed="64"/>
      </bottom>
      <diagonal/>
    </border>
    <border>
      <left/>
      <right style="double">
        <color indexed="64"/>
      </right>
      <top style="double">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double">
        <color indexed="64"/>
      </left>
      <right/>
      <top style="double">
        <color indexed="64"/>
      </top>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bottom style="thin">
        <color indexed="64"/>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ck">
        <color indexed="44"/>
      </left>
      <right/>
      <top/>
      <bottom/>
      <diagonal/>
    </border>
    <border>
      <left style="thin">
        <color indexed="44"/>
      </left>
      <right style="thick">
        <color indexed="44"/>
      </right>
      <top style="thin">
        <color indexed="44"/>
      </top>
      <bottom/>
      <diagonal/>
    </border>
    <border>
      <left style="thin">
        <color indexed="44"/>
      </left>
      <right style="thick">
        <color indexed="44"/>
      </right>
      <top/>
      <bottom style="thin">
        <color indexed="44"/>
      </bottom>
      <diagonal/>
    </border>
    <border>
      <left style="thick">
        <color indexed="44"/>
      </left>
      <right/>
      <top style="thin">
        <color indexed="44"/>
      </top>
      <bottom/>
      <diagonal/>
    </border>
    <border>
      <left/>
      <right/>
      <top/>
      <bottom style="thin">
        <color indexed="44"/>
      </bottom>
      <diagonal/>
    </border>
    <border>
      <left style="thick">
        <color indexed="44"/>
      </left>
      <right style="thin">
        <color indexed="44"/>
      </right>
      <top/>
      <bottom style="thin">
        <color indexed="44"/>
      </bottom>
      <diagonal/>
    </border>
    <border>
      <left/>
      <right style="thick">
        <color indexed="44"/>
      </right>
      <top/>
      <bottom style="thin">
        <color indexed="44"/>
      </bottom>
      <diagonal/>
    </border>
    <border>
      <left style="thick">
        <color indexed="44"/>
      </left>
      <right style="thin">
        <color indexed="44"/>
      </right>
      <top/>
      <bottom style="thick">
        <color indexed="44"/>
      </bottom>
      <diagonal/>
    </border>
    <border>
      <left/>
      <right style="thin">
        <color indexed="44"/>
      </right>
      <top/>
      <bottom style="thick">
        <color indexed="44"/>
      </bottom>
      <diagonal/>
    </border>
    <border>
      <left/>
      <right style="thick">
        <color indexed="44"/>
      </right>
      <top/>
      <bottom style="thick">
        <color indexed="44"/>
      </bottom>
      <diagonal/>
    </border>
    <border>
      <left style="thick">
        <color indexed="44"/>
      </left>
      <right/>
      <top style="thick">
        <color indexed="44"/>
      </top>
      <bottom/>
      <diagonal/>
    </border>
    <border>
      <left/>
      <right/>
      <top style="thick">
        <color indexed="44"/>
      </top>
      <bottom/>
      <diagonal/>
    </border>
    <border>
      <left/>
      <right style="thick">
        <color indexed="44"/>
      </right>
      <top style="thick">
        <color indexed="44"/>
      </top>
      <bottom/>
      <diagonal/>
    </border>
    <border>
      <left style="thick">
        <color indexed="44"/>
      </left>
      <right/>
      <top/>
      <bottom style="thick">
        <color indexed="44"/>
      </bottom>
      <diagonal/>
    </border>
    <border>
      <left/>
      <right style="thick">
        <color indexed="44"/>
      </right>
      <top style="thin">
        <color indexed="44"/>
      </top>
      <bottom style="thick">
        <color indexed="44"/>
      </bottom>
      <diagonal/>
    </border>
    <border>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44"/>
      </left>
      <right style="thick">
        <color indexed="44"/>
      </right>
      <top/>
      <bottom/>
      <diagonal/>
    </border>
    <border>
      <left style="thin">
        <color indexed="44"/>
      </left>
      <right style="thick">
        <color indexed="44"/>
      </right>
      <top/>
      <bottom style="double">
        <color indexed="44"/>
      </bottom>
      <diagonal/>
    </border>
    <border>
      <left style="thick">
        <color indexed="44"/>
      </left>
      <right style="thin">
        <color indexed="44"/>
      </right>
      <top/>
      <bottom/>
      <diagonal/>
    </border>
    <border>
      <left style="thin">
        <color indexed="44"/>
      </left>
      <right style="thin">
        <color indexed="44"/>
      </right>
      <top/>
      <bottom style="double">
        <color indexed="44"/>
      </bottom>
      <diagonal/>
    </border>
    <border>
      <left/>
      <right style="thin">
        <color indexed="44"/>
      </right>
      <top style="medium">
        <color indexed="64"/>
      </top>
      <bottom/>
      <diagonal/>
    </border>
    <border>
      <left style="medium">
        <color indexed="64"/>
      </left>
      <right style="thin">
        <color indexed="44"/>
      </right>
      <top/>
      <bottom/>
      <diagonal/>
    </border>
    <border>
      <left style="medium">
        <color indexed="64"/>
      </left>
      <right/>
      <top style="thin">
        <color indexed="44"/>
      </top>
      <bottom/>
      <diagonal/>
    </border>
    <border>
      <left style="thin">
        <color indexed="44"/>
      </left>
      <right style="medium">
        <color indexed="64"/>
      </right>
      <top style="thin">
        <color indexed="44"/>
      </top>
      <bottom/>
      <diagonal/>
    </border>
    <border>
      <left style="thin">
        <color indexed="44"/>
      </left>
      <right style="medium">
        <color indexed="64"/>
      </right>
      <top/>
      <bottom style="double">
        <color indexed="44"/>
      </bottom>
      <diagonal/>
    </border>
    <border>
      <left style="thin">
        <color indexed="44"/>
      </left>
      <right style="medium">
        <color indexed="64"/>
      </right>
      <top/>
      <bottom/>
      <diagonal/>
    </border>
    <border>
      <left style="thin">
        <color indexed="44"/>
      </left>
      <right style="medium">
        <color indexed="64"/>
      </right>
      <top/>
      <bottom style="thin">
        <color indexed="4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style="medium">
        <color indexed="44"/>
      </left>
      <right/>
      <top style="medium">
        <color indexed="44"/>
      </top>
      <bottom style="thin">
        <color indexed="44"/>
      </bottom>
      <diagonal/>
    </border>
    <border>
      <left/>
      <right/>
      <top style="medium">
        <color indexed="44"/>
      </top>
      <bottom style="thin">
        <color indexed="44"/>
      </bottom>
      <diagonal/>
    </border>
    <border>
      <left/>
      <right style="medium">
        <color indexed="44"/>
      </right>
      <top style="medium">
        <color indexed="44"/>
      </top>
      <bottom style="thin">
        <color indexed="44"/>
      </bottom>
      <diagonal/>
    </border>
    <border>
      <left style="medium">
        <color rgb="FFA7A790"/>
      </left>
      <right/>
      <top/>
      <bottom/>
      <diagonal/>
    </border>
    <border>
      <left/>
      <right style="medium">
        <color rgb="FFA7A790"/>
      </right>
      <top/>
      <bottom/>
      <diagonal/>
    </border>
    <border>
      <left style="medium">
        <color rgb="FFA7A790"/>
      </left>
      <right/>
      <top/>
      <bottom style="medium">
        <color rgb="FFA7A790"/>
      </bottom>
      <diagonal/>
    </border>
    <border>
      <left/>
      <right/>
      <top/>
      <bottom style="medium">
        <color rgb="FFA7A790"/>
      </bottom>
      <diagonal/>
    </border>
    <border>
      <left/>
      <right style="medium">
        <color rgb="FFA7A790"/>
      </right>
      <top/>
      <bottom style="medium">
        <color rgb="FFA7A790"/>
      </bottom>
      <diagonal/>
    </border>
    <border>
      <left style="medium">
        <color rgb="FFA7A790"/>
      </left>
      <right/>
      <top style="medium">
        <color rgb="FFA7A790"/>
      </top>
      <bottom style="thin">
        <color rgb="FFA7A790"/>
      </bottom>
      <diagonal/>
    </border>
    <border>
      <left/>
      <right/>
      <top style="medium">
        <color rgb="FFA7A790"/>
      </top>
      <bottom style="thin">
        <color rgb="FFA7A790"/>
      </bottom>
      <diagonal/>
    </border>
    <border>
      <left/>
      <right style="medium">
        <color rgb="FFA7A790"/>
      </right>
      <top style="medium">
        <color rgb="FFA7A790"/>
      </top>
      <bottom style="thin">
        <color rgb="FFA7A790"/>
      </bottom>
      <diagonal/>
    </border>
  </borders>
  <cellStyleXfs count="91">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3" borderId="0" applyNumberFormat="0" applyBorder="0" applyAlignment="0" applyProtection="0"/>
    <xf numFmtId="0" fontId="28" fillId="20" borderId="2" applyNumberFormat="0" applyAlignment="0" applyProtection="0"/>
    <xf numFmtId="0" fontId="28" fillId="20" borderId="2" applyNumberFormat="0" applyAlignment="0" applyProtection="0"/>
    <xf numFmtId="0" fontId="29" fillId="21" borderId="3" applyNumberFormat="0" applyAlignment="0" applyProtection="0"/>
    <xf numFmtId="166" fontId="1" fillId="0" borderId="0" applyFont="0" applyFill="0" applyBorder="0" applyAlignment="0" applyProtection="0"/>
    <xf numFmtId="0" fontId="30" fillId="7" borderId="2" applyNumberFormat="0" applyAlignment="0" applyProtection="0"/>
    <xf numFmtId="0" fontId="31" fillId="0" borderId="4"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4" borderId="0" applyNumberFormat="0" applyBorder="0" applyAlignment="0" applyProtection="0"/>
    <xf numFmtId="0" fontId="33" fillId="4" borderId="0" applyNumberFormat="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alignment vertical="top"/>
      <protection locked="0"/>
    </xf>
    <xf numFmtId="0" fontId="30" fillId="7" borderId="2" applyNumberFormat="0" applyAlignment="0" applyProtection="0"/>
    <xf numFmtId="0" fontId="37" fillId="0" borderId="8" applyNumberFormat="0" applyFill="0" applyAlignment="0" applyProtection="0"/>
    <xf numFmtId="0" fontId="38" fillId="22" borderId="0" applyNumberFormat="0" applyBorder="0" applyAlignment="0" applyProtection="0"/>
    <xf numFmtId="0" fontId="4" fillId="23" borderId="9" applyNumberFormat="0" applyFont="0" applyAlignment="0" applyProtection="0"/>
    <xf numFmtId="0" fontId="39" fillId="23" borderId="9" applyNumberFormat="0" applyFont="0" applyAlignment="0" applyProtection="0"/>
    <xf numFmtId="0" fontId="26" fillId="20" borderId="1" applyNumberFormat="0" applyAlignment="0" applyProtection="0"/>
    <xf numFmtId="9" fontId="1" fillId="0" borderId="0" applyFont="0" applyFill="0" applyBorder="0" applyAlignment="0" applyProtection="0"/>
    <xf numFmtId="0" fontId="27" fillId="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0" fillId="0" borderId="0" applyNumberFormat="0" applyFill="0" applyBorder="0" applyAlignment="0" applyProtection="0"/>
    <xf numFmtId="0" fontId="31" fillId="0" borderId="4" applyNumberFormat="0" applyFill="0" applyAlignment="0" applyProtection="0"/>
    <xf numFmtId="0" fontId="40"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9" fillId="21" borderId="3" applyNumberFormat="0" applyAlignment="0" applyProtection="0"/>
    <xf numFmtId="0" fontId="1" fillId="0" borderId="0"/>
  </cellStyleXfs>
  <cellXfs count="597">
    <xf numFmtId="0" fontId="0" fillId="0" borderId="0" xfId="0"/>
    <xf numFmtId="0" fontId="4" fillId="0" borderId="0" xfId="75" applyProtection="1"/>
    <xf numFmtId="0" fontId="4" fillId="0" borderId="0" xfId="75" applyFont="1" applyProtection="1"/>
    <xf numFmtId="0" fontId="4" fillId="0" borderId="0" xfId="75" applyFont="1" applyAlignment="1" applyProtection="1"/>
    <xf numFmtId="0" fontId="17" fillId="0" borderId="0" xfId="75" applyFont="1" applyAlignment="1" applyProtection="1"/>
    <xf numFmtId="0" fontId="4" fillId="25" borderId="23" xfId="76" applyFill="1" applyBorder="1" applyAlignment="1">
      <alignment wrapText="1"/>
    </xf>
    <xf numFmtId="0" fontId="19" fillId="26" borderId="24" xfId="0" applyFont="1" applyFill="1" applyBorder="1" applyAlignment="1">
      <alignment vertical="center"/>
    </xf>
    <xf numFmtId="0" fontId="19" fillId="26" borderId="25" xfId="0" applyFont="1" applyFill="1" applyBorder="1" applyAlignment="1">
      <alignment vertical="center"/>
    </xf>
    <xf numFmtId="0" fontId="19" fillId="26" borderId="26" xfId="0" applyFont="1" applyFill="1" applyBorder="1" applyAlignment="1">
      <alignment horizontal="center"/>
    </xf>
    <xf numFmtId="0" fontId="19" fillId="26" borderId="27" xfId="0" applyFont="1" applyFill="1" applyBorder="1" applyAlignment="1">
      <alignment horizontal="center"/>
    </xf>
    <xf numFmtId="169" fontId="0" fillId="26" borderId="28" xfId="0" applyNumberFormat="1" applyFill="1" applyBorder="1" applyAlignment="1">
      <alignment horizontal="center"/>
    </xf>
    <xf numFmtId="2" fontId="0" fillId="26" borderId="29" xfId="0" applyNumberFormat="1" applyFill="1" applyBorder="1" applyAlignment="1">
      <alignment horizontal="center"/>
    </xf>
    <xf numFmtId="0" fontId="19" fillId="26" borderId="30" xfId="0" applyFont="1" applyFill="1" applyBorder="1" applyAlignment="1">
      <alignment horizontal="center"/>
    </xf>
    <xf numFmtId="169" fontId="0" fillId="26" borderId="25" xfId="0" applyNumberFormat="1" applyFill="1" applyBorder="1" applyAlignment="1">
      <alignment horizontal="center"/>
    </xf>
    <xf numFmtId="2" fontId="0" fillId="26" borderId="31" xfId="0" applyNumberFormat="1" applyFill="1" applyBorder="1" applyAlignment="1">
      <alignment horizontal="center"/>
    </xf>
    <xf numFmtId="0" fontId="2" fillId="26" borderId="32" xfId="76" applyFont="1" applyFill="1" applyBorder="1" applyAlignment="1">
      <alignment horizontal="center"/>
    </xf>
    <xf numFmtId="0" fontId="2" fillId="26" borderId="33" xfId="76" applyFont="1" applyFill="1" applyBorder="1" applyAlignment="1">
      <alignment horizontal="center"/>
    </xf>
    <xf numFmtId="0" fontId="2" fillId="26" borderId="34" xfId="76" applyFont="1" applyFill="1" applyBorder="1"/>
    <xf numFmtId="2" fontId="22" fillId="26" borderId="35" xfId="76" applyNumberFormat="1" applyFont="1" applyFill="1" applyBorder="1" applyAlignment="1">
      <alignment horizontal="center"/>
    </xf>
    <xf numFmtId="0" fontId="2" fillId="26" borderId="32" xfId="76" applyFont="1" applyFill="1" applyBorder="1"/>
    <xf numFmtId="0" fontId="2" fillId="26" borderId="36" xfId="76" applyFont="1" applyFill="1" applyBorder="1"/>
    <xf numFmtId="2" fontId="22" fillId="26" borderId="37" xfId="76" applyNumberFormat="1" applyFont="1" applyFill="1" applyBorder="1" applyAlignment="1">
      <alignment horizontal="center"/>
    </xf>
    <xf numFmtId="2" fontId="22" fillId="26" borderId="38" xfId="76" applyNumberFormat="1" applyFont="1" applyFill="1" applyBorder="1" applyAlignment="1">
      <alignment horizontal="center"/>
    </xf>
    <xf numFmtId="0" fontId="2" fillId="26" borderId="39" xfId="76" applyFont="1" applyFill="1" applyBorder="1"/>
    <xf numFmtId="2" fontId="22" fillId="26" borderId="40" xfId="76" applyNumberFormat="1" applyFont="1" applyFill="1" applyBorder="1" applyAlignment="1">
      <alignment horizontal="center"/>
    </xf>
    <xf numFmtId="2" fontId="22" fillId="26" borderId="41" xfId="76" applyNumberFormat="1" applyFont="1" applyFill="1" applyBorder="1" applyAlignment="1">
      <alignment horizontal="center"/>
    </xf>
    <xf numFmtId="0" fontId="4" fillId="27" borderId="42" xfId="76" applyFill="1" applyBorder="1"/>
    <xf numFmtId="0" fontId="4" fillId="27" borderId="0" xfId="76" applyFill="1" applyBorder="1"/>
    <xf numFmtId="171" fontId="4" fillId="27" borderId="0" xfId="76" applyNumberFormat="1" applyFill="1" applyBorder="1"/>
    <xf numFmtId="0" fontId="4" fillId="27" borderId="43" xfId="76" applyFill="1" applyBorder="1"/>
    <xf numFmtId="0" fontId="4" fillId="26" borderId="44" xfId="76" applyFill="1" applyBorder="1"/>
    <xf numFmtId="2" fontId="22" fillId="26" borderId="45" xfId="76" applyNumberFormat="1" applyFont="1" applyFill="1" applyBorder="1" applyAlignment="1">
      <alignment horizontal="center"/>
    </xf>
    <xf numFmtId="0" fontId="2" fillId="27" borderId="0" xfId="76" applyFont="1" applyFill="1" applyBorder="1"/>
    <xf numFmtId="0" fontId="4" fillId="27" borderId="0" xfId="76" applyFont="1" applyFill="1" applyBorder="1" applyAlignment="1">
      <alignment horizontal="left" wrapText="1"/>
    </xf>
    <xf numFmtId="0" fontId="2" fillId="26" borderId="46" xfId="76" applyFont="1" applyFill="1" applyBorder="1"/>
    <xf numFmtId="0" fontId="4" fillId="27" borderId="0" xfId="76" applyFont="1" applyFill="1" applyBorder="1"/>
    <xf numFmtId="0" fontId="4" fillId="27" borderId="0" xfId="75" applyFill="1" applyBorder="1" applyProtection="1"/>
    <xf numFmtId="0" fontId="4" fillId="27" borderId="0" xfId="76" applyFill="1"/>
    <xf numFmtId="0" fontId="2" fillId="27" borderId="37" xfId="76" applyFont="1" applyFill="1" applyBorder="1" applyAlignment="1">
      <alignment horizontal="right" vertical="center" wrapText="1"/>
    </xf>
    <xf numFmtId="9" fontId="2" fillId="27" borderId="37" xfId="76" applyNumberFormat="1" applyFont="1" applyFill="1" applyBorder="1" applyAlignment="1">
      <alignment horizontal="right" vertical="center" wrapText="1"/>
    </xf>
    <xf numFmtId="0" fontId="2" fillId="27" borderId="0" xfId="76" applyFont="1" applyFill="1"/>
    <xf numFmtId="0" fontId="4" fillId="27" borderId="44" xfId="76" applyFill="1" applyBorder="1"/>
    <xf numFmtId="0" fontId="4" fillId="27" borderId="32" xfId="76" applyFill="1" applyBorder="1"/>
    <xf numFmtId="0" fontId="2" fillId="27" borderId="32" xfId="76" applyFont="1" applyFill="1" applyBorder="1"/>
    <xf numFmtId="0" fontId="4" fillId="25" borderId="0" xfId="76" applyFill="1" applyBorder="1"/>
    <xf numFmtId="0" fontId="2" fillId="25" borderId="0" xfId="76" applyFont="1" applyFill="1" applyBorder="1"/>
    <xf numFmtId="0" fontId="2" fillId="27" borderId="47" xfId="76" applyFont="1" applyFill="1" applyBorder="1"/>
    <xf numFmtId="0" fontId="2" fillId="27" borderId="47" xfId="76" applyFont="1" applyFill="1" applyBorder="1" applyAlignment="1">
      <alignment horizontal="center"/>
    </xf>
    <xf numFmtId="170" fontId="44" fillId="25" borderId="48" xfId="77" applyNumberFormat="1" applyFont="1" applyFill="1" applyBorder="1" applyAlignment="1">
      <alignment horizontal="center" vertical="center"/>
    </xf>
    <xf numFmtId="170" fontId="44" fillId="25" borderId="49" xfId="77" applyNumberFormat="1" applyFont="1" applyFill="1" applyBorder="1" applyAlignment="1">
      <alignment horizontal="center" vertical="center"/>
    </xf>
    <xf numFmtId="169" fontId="39" fillId="25" borderId="50" xfId="77" applyNumberFormat="1" applyFont="1" applyFill="1" applyBorder="1" applyAlignment="1">
      <alignment horizontal="center" vertical="center"/>
    </xf>
    <xf numFmtId="169" fontId="39" fillId="25" borderId="51" xfId="77" applyNumberFormat="1" applyFont="1" applyFill="1" applyBorder="1" applyAlignment="1">
      <alignment horizontal="center" vertical="center"/>
    </xf>
    <xf numFmtId="170" fontId="44" fillId="25" borderId="52" xfId="77" applyNumberFormat="1" applyFont="1" applyFill="1" applyBorder="1" applyAlignment="1">
      <alignment horizontal="center" vertical="center"/>
    </xf>
    <xf numFmtId="170" fontId="44" fillId="25" borderId="53" xfId="77" applyNumberFormat="1" applyFont="1" applyFill="1" applyBorder="1" applyAlignment="1">
      <alignment horizontal="center" vertical="center"/>
    </xf>
    <xf numFmtId="170" fontId="39" fillId="25" borderId="54" xfId="77" applyNumberFormat="1" applyFont="1" applyFill="1" applyBorder="1" applyAlignment="1">
      <alignment horizontal="center" vertical="center"/>
    </xf>
    <xf numFmtId="170" fontId="39" fillId="25" borderId="55" xfId="77" applyNumberFormat="1" applyFont="1" applyFill="1" applyBorder="1" applyAlignment="1">
      <alignment horizontal="center" vertical="center"/>
    </xf>
    <xf numFmtId="0" fontId="2" fillId="25" borderId="0" xfId="76" applyFont="1" applyFill="1" applyBorder="1" applyAlignment="1">
      <alignment horizontal="center"/>
    </xf>
    <xf numFmtId="0" fontId="2" fillId="25" borderId="56" xfId="76" applyFont="1" applyFill="1" applyBorder="1"/>
    <xf numFmtId="0" fontId="2" fillId="25" borderId="56" xfId="76" applyFont="1" applyFill="1" applyBorder="1" applyAlignment="1">
      <alignment horizontal="center"/>
    </xf>
    <xf numFmtId="0" fontId="2" fillId="27" borderId="0" xfId="76" applyFont="1" applyFill="1" applyAlignment="1">
      <alignment horizontal="right"/>
    </xf>
    <xf numFmtId="0" fontId="2" fillId="28" borderId="37" xfId="76" applyFont="1" applyFill="1" applyBorder="1" applyAlignment="1">
      <alignment horizontal="center"/>
    </xf>
    <xf numFmtId="0" fontId="2" fillId="25" borderId="57" xfId="76" applyFont="1" applyFill="1" applyBorder="1"/>
    <xf numFmtId="171" fontId="4" fillId="25" borderId="0" xfId="76" applyNumberFormat="1" applyFill="1" applyBorder="1" applyAlignment="1">
      <alignment horizontal="center"/>
    </xf>
    <xf numFmtId="0" fontId="4" fillId="27" borderId="57" xfId="76" applyFill="1" applyBorder="1"/>
    <xf numFmtId="0" fontId="2" fillId="27" borderId="0" xfId="76" applyFont="1" applyFill="1" applyBorder="1" applyAlignment="1">
      <alignment horizontal="center"/>
    </xf>
    <xf numFmtId="0" fontId="4" fillId="25" borderId="57" xfId="76" applyFill="1" applyBorder="1"/>
    <xf numFmtId="0" fontId="4" fillId="27" borderId="0" xfId="76" applyFill="1" applyBorder="1" applyAlignment="1">
      <alignment horizontal="center"/>
    </xf>
    <xf numFmtId="171" fontId="2" fillId="25" borderId="0" xfId="76" applyNumberFormat="1" applyFont="1" applyFill="1" applyBorder="1"/>
    <xf numFmtId="0" fontId="4" fillId="27" borderId="58" xfId="76" applyFill="1" applyBorder="1"/>
    <xf numFmtId="0" fontId="4" fillId="25" borderId="59" xfId="76" applyFont="1" applyFill="1" applyBorder="1"/>
    <xf numFmtId="0" fontId="2" fillId="25" borderId="12" xfId="76" applyFont="1" applyFill="1" applyBorder="1"/>
    <xf numFmtId="169" fontId="22" fillId="25" borderId="12" xfId="76" applyNumberFormat="1" applyFont="1" applyFill="1" applyBorder="1" applyAlignment="1">
      <alignment horizontal="center"/>
    </xf>
    <xf numFmtId="0" fontId="22" fillId="27" borderId="0" xfId="76" applyFont="1" applyFill="1" applyBorder="1" applyAlignment="1">
      <alignment horizontal="center"/>
    </xf>
    <xf numFmtId="2" fontId="2" fillId="29" borderId="37" xfId="76" applyNumberFormat="1" applyFont="1" applyFill="1" applyBorder="1" applyAlignment="1">
      <alignment horizontal="center"/>
    </xf>
    <xf numFmtId="0" fontId="4" fillId="25" borderId="57" xfId="76" applyFont="1" applyFill="1" applyBorder="1"/>
    <xf numFmtId="169" fontId="22" fillId="25" borderId="0" xfId="76" applyNumberFormat="1" applyFont="1" applyFill="1" applyBorder="1" applyAlignment="1">
      <alignment horizontal="center"/>
    </xf>
    <xf numFmtId="0" fontId="2" fillId="29" borderId="37" xfId="76" applyFont="1" applyFill="1" applyBorder="1" applyAlignment="1">
      <alignment horizontal="center"/>
    </xf>
    <xf numFmtId="10" fontId="2" fillId="24" borderId="37" xfId="72" applyNumberFormat="1" applyFont="1" applyFill="1" applyBorder="1" applyAlignment="1">
      <alignment horizontal="center"/>
    </xf>
    <xf numFmtId="0" fontId="4" fillId="25" borderId="24" xfId="76" applyFill="1" applyBorder="1"/>
    <xf numFmtId="0" fontId="2" fillId="25" borderId="25" xfId="76" applyFont="1" applyFill="1" applyBorder="1"/>
    <xf numFmtId="169" fontId="22" fillId="25" borderId="25" xfId="76" applyNumberFormat="1" applyFont="1" applyFill="1" applyBorder="1" applyAlignment="1">
      <alignment horizontal="center"/>
    </xf>
    <xf numFmtId="0" fontId="2" fillId="25" borderId="44" xfId="76" applyFont="1" applyFill="1" applyBorder="1"/>
    <xf numFmtId="0" fontId="2" fillId="25" borderId="32" xfId="76" applyFont="1" applyFill="1" applyBorder="1" applyAlignment="1">
      <alignment horizontal="center"/>
    </xf>
    <xf numFmtId="0" fontId="2" fillId="25" borderId="33" xfId="76" applyFont="1" applyFill="1" applyBorder="1" applyAlignment="1">
      <alignment horizontal="center"/>
    </xf>
    <xf numFmtId="0" fontId="2" fillId="27" borderId="42" xfId="76" applyFont="1" applyFill="1" applyBorder="1"/>
    <xf numFmtId="0" fontId="2" fillId="25" borderId="34" xfId="76" applyFont="1" applyFill="1" applyBorder="1"/>
    <xf numFmtId="0" fontId="2" fillId="25" borderId="32" xfId="76" applyFont="1" applyFill="1" applyBorder="1"/>
    <xf numFmtId="169" fontId="22" fillId="27" borderId="0" xfId="76" applyNumberFormat="1" applyFont="1" applyFill="1" applyBorder="1" applyAlignment="1">
      <alignment horizontal="center"/>
    </xf>
    <xf numFmtId="0" fontId="2" fillId="25" borderId="36" xfId="76" applyFont="1" applyFill="1" applyBorder="1"/>
    <xf numFmtId="0" fontId="4" fillId="25" borderId="43" xfId="76" applyFill="1" applyBorder="1"/>
    <xf numFmtId="0" fontId="2" fillId="25" borderId="39" xfId="76" applyFont="1" applyFill="1" applyBorder="1"/>
    <xf numFmtId="169" fontId="22" fillId="27" borderId="12" xfId="76" applyNumberFormat="1" applyFont="1" applyFill="1" applyBorder="1" applyAlignment="1">
      <alignment horizontal="center"/>
    </xf>
    <xf numFmtId="169" fontId="22" fillId="27" borderId="60" xfId="76" applyNumberFormat="1" applyFont="1" applyFill="1" applyBorder="1" applyAlignment="1">
      <alignment horizontal="center"/>
    </xf>
    <xf numFmtId="0" fontId="4" fillId="27" borderId="61" xfId="76" applyFill="1" applyBorder="1"/>
    <xf numFmtId="0" fontId="4" fillId="27" borderId="47" xfId="76" applyFill="1" applyBorder="1"/>
    <xf numFmtId="0" fontId="4" fillId="25" borderId="44" xfId="76" applyFill="1" applyBorder="1"/>
    <xf numFmtId="0" fontId="2" fillId="27" borderId="0" xfId="76" applyFont="1" applyFill="1" applyBorder="1" applyAlignment="1">
      <alignment horizontal="right"/>
    </xf>
    <xf numFmtId="0" fontId="4" fillId="27" borderId="0" xfId="75" applyFont="1" applyFill="1" applyProtection="1"/>
    <xf numFmtId="169" fontId="22" fillId="27" borderId="43" xfId="76" applyNumberFormat="1" applyFont="1" applyFill="1" applyBorder="1" applyAlignment="1">
      <alignment horizontal="center"/>
    </xf>
    <xf numFmtId="0" fontId="7" fillId="27" borderId="0" xfId="75" applyFont="1" applyFill="1" applyBorder="1" applyProtection="1"/>
    <xf numFmtId="0" fontId="4" fillId="27" borderId="0" xfId="75" applyFont="1" applyFill="1" applyBorder="1" applyProtection="1"/>
    <xf numFmtId="0" fontId="4" fillId="27" borderId="0" xfId="75" applyFill="1" applyProtection="1"/>
    <xf numFmtId="0" fontId="3" fillId="27" borderId="0" xfId="75" applyFont="1" applyFill="1" applyProtection="1"/>
    <xf numFmtId="0" fontId="4" fillId="27" borderId="0" xfId="75" applyFont="1" applyFill="1" applyAlignment="1" applyProtection="1"/>
    <xf numFmtId="0" fontId="7" fillId="27" borderId="0" xfId="75" applyFont="1" applyFill="1" applyProtection="1"/>
    <xf numFmtId="14" fontId="4" fillId="27" borderId="0" xfId="75" applyNumberFormat="1" applyFont="1" applyFill="1" applyProtection="1"/>
    <xf numFmtId="14" fontId="7" fillId="27" borderId="0" xfId="75" applyNumberFormat="1" applyFont="1" applyFill="1" applyProtection="1"/>
    <xf numFmtId="0" fontId="16" fillId="27" borderId="0" xfId="75" applyFont="1" applyFill="1" applyBorder="1" applyAlignment="1" applyProtection="1"/>
    <xf numFmtId="0" fontId="4" fillId="27" borderId="17" xfId="0" applyFont="1" applyFill="1" applyBorder="1" applyProtection="1"/>
    <xf numFmtId="0" fontId="4" fillId="27" borderId="13" xfId="0" applyFont="1" applyFill="1" applyBorder="1" applyProtection="1"/>
    <xf numFmtId="0" fontId="4" fillId="27" borderId="14" xfId="0" applyFont="1" applyFill="1" applyBorder="1" applyProtection="1"/>
    <xf numFmtId="0" fontId="4" fillId="27" borderId="0" xfId="0" applyFont="1" applyFill="1" applyBorder="1" applyProtection="1"/>
    <xf numFmtId="0" fontId="4" fillId="0" borderId="0" xfId="78" applyProtection="1"/>
    <xf numFmtId="0" fontId="4" fillId="0" borderId="0" xfId="78" applyFont="1" applyProtection="1"/>
    <xf numFmtId="0" fontId="4" fillId="0" borderId="0" xfId="78" applyBorder="1" applyProtection="1"/>
    <xf numFmtId="0" fontId="4" fillId="0" borderId="0" xfId="78" applyBorder="1" applyAlignment="1" applyProtection="1">
      <alignment horizontal="right"/>
    </xf>
    <xf numFmtId="172" fontId="57" fillId="0" borderId="0" xfId="78" applyNumberFormat="1" applyFont="1" applyFill="1" applyBorder="1" applyAlignment="1" applyProtection="1">
      <alignment horizontal="center"/>
    </xf>
    <xf numFmtId="166" fontId="4" fillId="0" borderId="0" xfId="54" applyFont="1" applyProtection="1"/>
    <xf numFmtId="0" fontId="22" fillId="27" borderId="0" xfId="74" applyFont="1" applyFill="1" applyProtection="1"/>
    <xf numFmtId="168" fontId="4" fillId="27" borderId="0" xfId="0" applyNumberFormat="1" applyFont="1" applyFill="1" applyBorder="1" applyProtection="1"/>
    <xf numFmtId="168" fontId="4" fillId="27" borderId="0" xfId="0" applyNumberFormat="1" applyFont="1" applyFill="1" applyBorder="1" applyAlignment="1" applyProtection="1">
      <alignment horizontal="right"/>
    </xf>
    <xf numFmtId="2" fontId="4" fillId="27" borderId="22" xfId="0" applyNumberFormat="1" applyFont="1" applyFill="1" applyBorder="1" applyProtection="1"/>
    <xf numFmtId="172" fontId="14" fillId="27" borderId="0" xfId="0" applyNumberFormat="1" applyFont="1" applyFill="1" applyBorder="1" applyProtection="1"/>
    <xf numFmtId="0" fontId="11" fillId="27" borderId="0" xfId="75" applyFont="1" applyFill="1" applyProtection="1"/>
    <xf numFmtId="0" fontId="17" fillId="27" borderId="0" xfId="75" applyFont="1" applyFill="1" applyAlignment="1" applyProtection="1"/>
    <xf numFmtId="0" fontId="2" fillId="27" borderId="0" xfId="75" applyFont="1" applyFill="1" applyProtection="1"/>
    <xf numFmtId="0" fontId="4" fillId="27" borderId="15" xfId="0" applyFont="1" applyFill="1" applyBorder="1" applyProtection="1"/>
    <xf numFmtId="0" fontId="4" fillId="27" borderId="14" xfId="0" applyFont="1" applyFill="1" applyBorder="1" applyAlignment="1" applyProtection="1">
      <alignment vertical="top"/>
    </xf>
    <xf numFmtId="0" fontId="0" fillId="27" borderId="0" xfId="0" applyFill="1" applyProtection="1"/>
    <xf numFmtId="176" fontId="48" fillId="27" borderId="15" xfId="0" applyNumberFormat="1" applyFont="1" applyFill="1" applyBorder="1" applyProtection="1"/>
    <xf numFmtId="177" fontId="54" fillId="27" borderId="15" xfId="0" applyNumberFormat="1" applyFont="1" applyFill="1" applyBorder="1" applyAlignment="1" applyProtection="1">
      <alignment horizontal="right" indent="1"/>
    </xf>
    <xf numFmtId="0" fontId="2" fillId="27" borderId="0" xfId="0" applyFont="1" applyFill="1" applyProtection="1"/>
    <xf numFmtId="0" fontId="15" fillId="27" borderId="0" xfId="75" applyFont="1" applyFill="1" applyAlignment="1" applyProtection="1"/>
    <xf numFmtId="0" fontId="16" fillId="27" borderId="19" xfId="75" applyFont="1" applyFill="1" applyBorder="1" applyAlignment="1" applyProtection="1">
      <alignment horizontal="left" indent="3"/>
    </xf>
    <xf numFmtId="0" fontId="2" fillId="27" borderId="15" xfId="0" applyFont="1" applyFill="1" applyBorder="1" applyProtection="1"/>
    <xf numFmtId="0" fontId="0" fillId="27" borderId="0" xfId="0" applyFill="1" applyAlignment="1" applyProtection="1">
      <alignment horizontal="center"/>
    </xf>
    <xf numFmtId="0" fontId="2" fillId="27" borderId="0" xfId="75" applyFont="1" applyFill="1" applyAlignment="1" applyProtection="1">
      <alignment horizontal="left"/>
    </xf>
    <xf numFmtId="0" fontId="13" fillId="27" borderId="0" xfId="75" applyFont="1" applyFill="1" applyProtection="1"/>
    <xf numFmtId="0" fontId="2" fillId="27" borderId="0" xfId="75" applyFont="1" applyFill="1" applyAlignment="1" applyProtection="1"/>
    <xf numFmtId="0" fontId="16" fillId="27" borderId="0" xfId="75" applyFont="1" applyFill="1" applyAlignment="1" applyProtection="1">
      <alignment horizontal="left" wrapText="1"/>
    </xf>
    <xf numFmtId="0" fontId="4" fillId="27" borderId="19" xfId="75" applyFont="1" applyFill="1" applyBorder="1" applyProtection="1"/>
    <xf numFmtId="173" fontId="4" fillId="27" borderId="18" xfId="75" applyNumberFormat="1" applyFont="1" applyFill="1" applyBorder="1" applyAlignment="1" applyProtection="1">
      <alignment horizontal="right"/>
    </xf>
    <xf numFmtId="9" fontId="58" fillId="27" borderId="0" xfId="72" applyFont="1" applyFill="1" applyProtection="1"/>
    <xf numFmtId="0" fontId="10" fillId="27" borderId="0" xfId="0" applyFont="1" applyFill="1" applyProtection="1"/>
    <xf numFmtId="0" fontId="5" fillId="27" borderId="0" xfId="65" applyFill="1" applyAlignment="1" applyProtection="1"/>
    <xf numFmtId="1" fontId="53" fillId="27" borderId="16" xfId="0" applyNumberFormat="1" applyFont="1" applyFill="1" applyBorder="1" applyProtection="1"/>
    <xf numFmtId="0" fontId="58" fillId="27" borderId="0" xfId="75" applyFont="1" applyFill="1" applyProtection="1"/>
    <xf numFmtId="175" fontId="4" fillId="27" borderId="22" xfId="0" applyNumberFormat="1" applyFont="1" applyFill="1" applyBorder="1" applyProtection="1"/>
    <xf numFmtId="169" fontId="14" fillId="27" borderId="15" xfId="0" applyNumberFormat="1" applyFont="1" applyFill="1" applyBorder="1" applyProtection="1"/>
    <xf numFmtId="0" fontId="63" fillId="27" borderId="0" xfId="75" applyFont="1" applyFill="1" applyAlignment="1" applyProtection="1"/>
    <xf numFmtId="0" fontId="13" fillId="24" borderId="0" xfId="75" applyFont="1" applyFill="1" applyBorder="1" applyAlignment="1" applyProtection="1"/>
    <xf numFmtId="0" fontId="13" fillId="27" borderId="0" xfId="75" applyFont="1" applyFill="1" applyBorder="1" applyAlignment="1" applyProtection="1"/>
    <xf numFmtId="0" fontId="53" fillId="27" borderId="0" xfId="75" applyFont="1" applyFill="1" applyBorder="1" applyProtection="1"/>
    <xf numFmtId="169" fontId="4" fillId="27" borderId="15" xfId="0" applyNumberFormat="1" applyFont="1" applyFill="1" applyBorder="1" applyProtection="1"/>
    <xf numFmtId="10" fontId="16" fillId="27" borderId="65" xfId="72" applyNumberFormat="1" applyFont="1" applyFill="1" applyBorder="1" applyProtection="1"/>
    <xf numFmtId="10" fontId="16" fillId="27" borderId="16" xfId="72" applyNumberFormat="1" applyFont="1" applyFill="1" applyBorder="1" applyProtection="1"/>
    <xf numFmtId="10" fontId="16" fillId="27" borderId="66" xfId="72" applyNumberFormat="1" applyFont="1" applyFill="1" applyBorder="1" applyProtection="1"/>
    <xf numFmtId="166" fontId="53" fillId="27" borderId="16" xfId="54" applyFont="1" applyFill="1" applyBorder="1" applyProtection="1"/>
    <xf numFmtId="0" fontId="4" fillId="27" borderId="0" xfId="75" applyFont="1" applyFill="1" applyProtection="1">
      <protection locked="0"/>
    </xf>
    <xf numFmtId="0" fontId="4" fillId="27" borderId="0" xfId="75" applyFill="1" applyProtection="1">
      <protection locked="0"/>
    </xf>
    <xf numFmtId="0" fontId="4" fillId="27" borderId="14" xfId="75" applyFill="1" applyBorder="1" applyProtection="1"/>
    <xf numFmtId="0" fontId="4" fillId="27" borderId="16" xfId="75" applyFont="1" applyFill="1" applyBorder="1" applyAlignment="1" applyProtection="1">
      <alignment horizontal="right"/>
    </xf>
    <xf numFmtId="0" fontId="10" fillId="27" borderId="0" xfId="0" applyFont="1" applyFill="1" applyProtection="1">
      <protection locked="0"/>
    </xf>
    <xf numFmtId="0" fontId="4" fillId="27" borderId="0" xfId="75" applyFont="1" applyFill="1" applyAlignment="1" applyProtection="1">
      <protection locked="0"/>
    </xf>
    <xf numFmtId="0" fontId="47" fillId="27" borderId="0" xfId="75" applyFont="1" applyFill="1" applyAlignment="1" applyProtection="1">
      <alignment horizontal="right" vertical="top"/>
    </xf>
    <xf numFmtId="0" fontId="4" fillId="27" borderId="0" xfId="75" applyFont="1" applyFill="1" applyAlignment="1" applyProtection="1">
      <alignment horizontal="right"/>
    </xf>
    <xf numFmtId="0" fontId="3" fillId="27" borderId="0" xfId="75" applyFont="1" applyFill="1" applyProtection="1">
      <protection locked="0"/>
    </xf>
    <xf numFmtId="0" fontId="2" fillId="27" borderId="0" xfId="75" applyFont="1" applyFill="1" applyProtection="1">
      <protection locked="0"/>
    </xf>
    <xf numFmtId="0" fontId="4" fillId="27" borderId="0" xfId="75" applyFont="1" applyFill="1" applyAlignment="1" applyProtection="1">
      <alignment horizontal="center"/>
      <protection locked="0"/>
    </xf>
    <xf numFmtId="174" fontId="4" fillId="27" borderId="0" xfId="72" applyNumberFormat="1" applyFont="1" applyFill="1" applyProtection="1">
      <protection locked="0"/>
    </xf>
    <xf numFmtId="180" fontId="4" fillId="27" borderId="0" xfId="72" applyNumberFormat="1" applyFont="1" applyFill="1" applyProtection="1">
      <protection locked="0"/>
    </xf>
    <xf numFmtId="10" fontId="4" fillId="27" borderId="0" xfId="72" applyNumberFormat="1" applyFont="1" applyFill="1" applyProtection="1">
      <protection locked="0"/>
    </xf>
    <xf numFmtId="0" fontId="7" fillId="27" borderId="0" xfId="75" applyFont="1" applyFill="1" applyProtection="1">
      <protection locked="0"/>
    </xf>
    <xf numFmtId="16" fontId="7" fillId="27" borderId="0" xfId="75" applyNumberFormat="1" applyFont="1" applyFill="1" applyAlignment="1" applyProtection="1">
      <alignment horizontal="center"/>
      <protection locked="0"/>
    </xf>
    <xf numFmtId="0" fontId="2" fillId="27" borderId="0" xfId="75" applyFont="1" applyFill="1" applyAlignment="1" applyProtection="1">
      <alignment horizontal="center"/>
      <protection locked="0"/>
    </xf>
    <xf numFmtId="0" fontId="2" fillId="27" borderId="34" xfId="76" applyFont="1" applyFill="1" applyBorder="1" applyProtection="1">
      <protection locked="0"/>
    </xf>
    <xf numFmtId="0" fontId="2" fillId="27" borderId="42" xfId="76" applyFont="1" applyFill="1" applyBorder="1" applyProtection="1">
      <protection locked="0"/>
    </xf>
    <xf numFmtId="0" fontId="2" fillId="27" borderId="36" xfId="76" applyFont="1" applyFill="1" applyBorder="1" applyProtection="1">
      <protection locked="0"/>
    </xf>
    <xf numFmtId="0" fontId="2" fillId="27" borderId="61" xfId="76" applyFont="1" applyFill="1" applyBorder="1" applyProtection="1">
      <protection locked="0"/>
    </xf>
    <xf numFmtId="0" fontId="2" fillId="27" borderId="39" xfId="76" applyFont="1" applyFill="1" applyBorder="1" applyProtection="1">
      <protection locked="0"/>
    </xf>
    <xf numFmtId="0" fontId="2" fillId="27" borderId="21" xfId="0" applyFont="1" applyFill="1" applyBorder="1" applyProtection="1"/>
    <xf numFmtId="0" fontId="4" fillId="0" borderId="13" xfId="75" applyBorder="1" applyProtection="1"/>
    <xf numFmtId="0" fontId="4" fillId="27" borderId="21" xfId="0" applyFont="1" applyFill="1" applyBorder="1" applyAlignment="1" applyProtection="1">
      <alignment horizontal="right"/>
    </xf>
    <xf numFmtId="0" fontId="53" fillId="27" borderId="0" xfId="75" applyFont="1" applyFill="1" applyAlignment="1" applyProtection="1">
      <alignment horizontal="left" wrapText="1"/>
    </xf>
    <xf numFmtId="178" fontId="55" fillId="27" borderId="68" xfId="0" applyNumberFormat="1" applyFont="1" applyFill="1" applyBorder="1" applyAlignment="1" applyProtection="1">
      <alignment horizontal="center"/>
    </xf>
    <xf numFmtId="0" fontId="4" fillId="27" borderId="37" xfId="75" applyFont="1" applyFill="1" applyBorder="1" applyAlignment="1" applyProtection="1">
      <protection locked="0"/>
    </xf>
    <xf numFmtId="0" fontId="4" fillId="27" borderId="37" xfId="75" applyFill="1" applyBorder="1" applyProtection="1">
      <protection locked="0"/>
    </xf>
    <xf numFmtId="0" fontId="4" fillId="27" borderId="37" xfId="75" applyFont="1" applyFill="1" applyBorder="1" applyProtection="1">
      <protection locked="0"/>
    </xf>
    <xf numFmtId="0" fontId="4" fillId="27" borderId="69" xfId="75" applyFont="1" applyFill="1" applyBorder="1" applyProtection="1">
      <protection locked="0"/>
    </xf>
    <xf numFmtId="0" fontId="4" fillId="27" borderId="69" xfId="75" applyFill="1" applyBorder="1" applyProtection="1">
      <protection locked="0"/>
    </xf>
    <xf numFmtId="0" fontId="4" fillId="27" borderId="0" xfId="75" applyFill="1" applyBorder="1" applyProtection="1">
      <protection locked="0"/>
    </xf>
    <xf numFmtId="0" fontId="4" fillId="27" borderId="0" xfId="75" applyFont="1" applyFill="1" applyAlignment="1" applyProtection="1">
      <alignment horizontal="right"/>
      <protection locked="0"/>
    </xf>
    <xf numFmtId="2" fontId="4" fillId="27" borderId="15" xfId="0" applyNumberFormat="1" applyFont="1" applyFill="1" applyBorder="1" applyProtection="1"/>
    <xf numFmtId="0" fontId="4" fillId="27" borderId="19" xfId="0" applyFont="1" applyFill="1" applyBorder="1" applyProtection="1"/>
    <xf numFmtId="2" fontId="2" fillId="27" borderId="0" xfId="76" applyNumberFormat="1" applyFont="1" applyFill="1" applyBorder="1"/>
    <xf numFmtId="0" fontId="61" fillId="24" borderId="19" xfId="0" applyFont="1" applyFill="1" applyBorder="1" applyAlignment="1" applyProtection="1">
      <alignment horizontal="center" wrapText="1"/>
    </xf>
    <xf numFmtId="0" fontId="4" fillId="24" borderId="0" xfId="75" applyFont="1" applyFill="1" applyAlignment="1" applyProtection="1">
      <alignment horizontal="center"/>
    </xf>
    <xf numFmtId="166" fontId="4" fillId="24" borderId="15" xfId="54" applyFont="1" applyFill="1" applyBorder="1" applyAlignment="1" applyProtection="1">
      <alignment horizontal="center" wrapText="1"/>
    </xf>
    <xf numFmtId="166" fontId="4" fillId="27" borderId="16" xfId="54" applyFont="1" applyFill="1" applyBorder="1" applyAlignment="1" applyProtection="1">
      <alignment horizontal="left" indent="3"/>
    </xf>
    <xf numFmtId="165" fontId="4" fillId="27" borderId="16" xfId="0" applyNumberFormat="1" applyFont="1" applyFill="1" applyBorder="1" applyAlignment="1" applyProtection="1">
      <alignment horizontal="right" indent="2"/>
    </xf>
    <xf numFmtId="0" fontId="4" fillId="24" borderId="0" xfId="75" applyFont="1" applyFill="1" applyBorder="1" applyAlignment="1" applyProtection="1">
      <alignment horizontal="center"/>
    </xf>
    <xf numFmtId="176" fontId="48" fillId="27" borderId="70" xfId="0" applyNumberFormat="1" applyFont="1" applyFill="1" applyBorder="1" applyProtection="1"/>
    <xf numFmtId="165" fontId="4" fillId="27" borderId="71" xfId="0" applyNumberFormat="1" applyFont="1" applyFill="1" applyBorder="1" applyAlignment="1" applyProtection="1">
      <alignment horizontal="right" indent="2"/>
    </xf>
    <xf numFmtId="176" fontId="48" fillId="27" borderId="72" xfId="0" applyNumberFormat="1" applyFont="1" applyFill="1" applyBorder="1" applyProtection="1"/>
    <xf numFmtId="166" fontId="4" fillId="27" borderId="73" xfId="54" applyFont="1" applyFill="1" applyBorder="1" applyAlignment="1" applyProtection="1">
      <alignment horizontal="left" indent="3"/>
    </xf>
    <xf numFmtId="165" fontId="4" fillId="27" borderId="73" xfId="0" applyNumberFormat="1" applyFont="1" applyFill="1" applyBorder="1" applyAlignment="1" applyProtection="1">
      <alignment horizontal="right" indent="2"/>
    </xf>
    <xf numFmtId="0" fontId="0" fillId="24" borderId="32" xfId="0" applyFill="1" applyBorder="1" applyAlignment="1" applyProtection="1">
      <alignment wrapText="1"/>
    </xf>
    <xf numFmtId="166" fontId="4" fillId="24" borderId="13" xfId="0" applyNumberFormat="1" applyFont="1" applyFill="1" applyBorder="1" applyAlignment="1" applyProtection="1">
      <alignment horizontal="center" wrapText="1"/>
    </xf>
    <xf numFmtId="0" fontId="0" fillId="24" borderId="13" xfId="0" applyFill="1" applyBorder="1" applyAlignment="1" applyProtection="1">
      <alignment horizontal="center" wrapText="1"/>
    </xf>
    <xf numFmtId="166" fontId="0" fillId="24" borderId="14" xfId="0" applyNumberFormat="1" applyFill="1" applyBorder="1" applyAlignment="1" applyProtection="1">
      <alignment wrapText="1"/>
    </xf>
    <xf numFmtId="177" fontId="54" fillId="27" borderId="14" xfId="0" applyNumberFormat="1" applyFont="1" applyFill="1" applyBorder="1" applyAlignment="1" applyProtection="1">
      <alignment horizontal="right" indent="1"/>
    </xf>
    <xf numFmtId="177" fontId="54" fillId="27" borderId="74" xfId="0" applyNumberFormat="1" applyFont="1" applyFill="1" applyBorder="1" applyAlignment="1" applyProtection="1">
      <alignment horizontal="right" indent="1"/>
    </xf>
    <xf numFmtId="178" fontId="4" fillId="27" borderId="0" xfId="75" applyNumberFormat="1" applyFont="1" applyFill="1" applyProtection="1"/>
    <xf numFmtId="176" fontId="48" fillId="24" borderId="70" xfId="0" applyNumberFormat="1" applyFont="1" applyFill="1" applyBorder="1" applyProtection="1"/>
    <xf numFmtId="166" fontId="53" fillId="24" borderId="16" xfId="54" applyFont="1" applyFill="1" applyBorder="1" applyProtection="1"/>
    <xf numFmtId="1" fontId="53" fillId="24" borderId="71" xfId="0" applyNumberFormat="1" applyFont="1" applyFill="1" applyBorder="1" applyProtection="1"/>
    <xf numFmtId="0" fontId="4" fillId="24" borderId="61" xfId="75" applyFill="1" applyBorder="1" applyProtection="1"/>
    <xf numFmtId="0" fontId="4" fillId="24" borderId="73" xfId="75" applyFont="1" applyFill="1" applyBorder="1" applyAlignment="1" applyProtection="1">
      <alignment horizontal="right"/>
    </xf>
    <xf numFmtId="178" fontId="55" fillId="24" borderId="75" xfId="0" applyNumberFormat="1" applyFont="1" applyFill="1" applyBorder="1" applyAlignment="1" applyProtection="1">
      <alignment horizontal="center"/>
    </xf>
    <xf numFmtId="0" fontId="65" fillId="27" borderId="0" xfId="75" applyFont="1" applyFill="1" applyProtection="1"/>
    <xf numFmtId="0" fontId="46" fillId="30" borderId="0" xfId="76" applyFont="1" applyFill="1" applyBorder="1"/>
    <xf numFmtId="0" fontId="46" fillId="27" borderId="0" xfId="76" applyFont="1" applyFill="1" applyBorder="1"/>
    <xf numFmtId="0" fontId="46" fillId="30" borderId="47" xfId="76" applyFont="1" applyFill="1" applyBorder="1"/>
    <xf numFmtId="171" fontId="22" fillId="27" borderId="0" xfId="76" applyNumberFormat="1" applyFont="1" applyFill="1" applyBorder="1" applyAlignment="1">
      <alignment horizontal="center"/>
    </xf>
    <xf numFmtId="0" fontId="42" fillId="27" borderId="0" xfId="77" applyFont="1" applyFill="1" applyBorder="1" applyAlignment="1">
      <alignment vertical="center"/>
    </xf>
    <xf numFmtId="0" fontId="43" fillId="27" borderId="0" xfId="77" applyFont="1" applyFill="1" applyBorder="1" applyAlignment="1">
      <alignment vertical="center"/>
    </xf>
    <xf numFmtId="0" fontId="4" fillId="27" borderId="76" xfId="76" applyFill="1" applyBorder="1"/>
    <xf numFmtId="170" fontId="44" fillId="25" borderId="77" xfId="77" applyNumberFormat="1" applyFont="1" applyFill="1" applyBorder="1" applyAlignment="1">
      <alignment horizontal="center" vertical="center"/>
    </xf>
    <xf numFmtId="169" fontId="39" fillId="25" borderId="78" xfId="77" applyNumberFormat="1" applyFont="1" applyFill="1" applyBorder="1" applyAlignment="1">
      <alignment horizontal="center" vertical="center"/>
    </xf>
    <xf numFmtId="170" fontId="44" fillId="25" borderId="79" xfId="77" applyNumberFormat="1" applyFont="1" applyFill="1" applyBorder="1" applyAlignment="1">
      <alignment horizontal="center" vertical="center"/>
    </xf>
    <xf numFmtId="170" fontId="39" fillId="25" borderId="80" xfId="77" applyNumberFormat="1" applyFont="1" applyFill="1" applyBorder="1" applyAlignment="1">
      <alignment horizontal="center" vertical="center"/>
    </xf>
    <xf numFmtId="0" fontId="2" fillId="27" borderId="81" xfId="76" applyFont="1" applyFill="1" applyBorder="1"/>
    <xf numFmtId="0" fontId="43" fillId="27" borderId="56" xfId="77" applyFont="1" applyFill="1" applyBorder="1" applyAlignment="1">
      <alignment vertical="center"/>
    </xf>
    <xf numFmtId="0" fontId="43" fillId="27" borderId="56" xfId="77" applyFont="1" applyFill="1" applyBorder="1" applyAlignment="1">
      <alignment horizontal="right" vertical="center"/>
    </xf>
    <xf numFmtId="9" fontId="43" fillId="27" borderId="56" xfId="72" applyFont="1" applyFill="1" applyBorder="1" applyAlignment="1">
      <alignment vertical="center"/>
    </xf>
    <xf numFmtId="9" fontId="4" fillId="25" borderId="81" xfId="76" applyNumberFormat="1" applyFill="1" applyBorder="1"/>
    <xf numFmtId="0" fontId="2" fillId="27" borderId="82" xfId="76" applyFont="1" applyFill="1" applyBorder="1" applyAlignment="1">
      <alignment horizontal="center"/>
    </xf>
    <xf numFmtId="0" fontId="2" fillId="27" borderId="83" xfId="76" applyFont="1" applyFill="1" applyBorder="1" applyAlignment="1">
      <alignment horizontal="center"/>
    </xf>
    <xf numFmtId="0" fontId="2" fillId="27" borderId="28" xfId="76" applyFont="1" applyFill="1" applyBorder="1" applyAlignment="1">
      <alignment horizontal="center"/>
    </xf>
    <xf numFmtId="0" fontId="2" fillId="27" borderId="29" xfId="76" applyFont="1" applyFill="1" applyBorder="1" applyAlignment="1">
      <alignment horizontal="center"/>
    </xf>
    <xf numFmtId="170" fontId="4" fillId="27" borderId="82" xfId="76" applyNumberFormat="1" applyFill="1" applyBorder="1" applyAlignment="1">
      <alignment horizontal="center"/>
    </xf>
    <xf numFmtId="169" fontId="4" fillId="27" borderId="62" xfId="76" applyNumberFormat="1" applyFill="1" applyBorder="1" applyAlignment="1">
      <alignment horizontal="center"/>
    </xf>
    <xf numFmtId="169" fontId="4" fillId="27" borderId="12" xfId="76" applyNumberFormat="1" applyFill="1" applyBorder="1" applyAlignment="1">
      <alignment horizontal="center"/>
    </xf>
    <xf numFmtId="169" fontId="4" fillId="27" borderId="84" xfId="76" applyNumberFormat="1" applyFill="1" applyBorder="1" applyAlignment="1">
      <alignment horizontal="center"/>
    </xf>
    <xf numFmtId="169" fontId="4" fillId="27" borderId="59" xfId="76" applyNumberFormat="1" applyFill="1" applyBorder="1" applyAlignment="1">
      <alignment horizontal="center"/>
    </xf>
    <xf numFmtId="169" fontId="4" fillId="27" borderId="82" xfId="76" applyNumberFormat="1" applyFont="1" applyFill="1" applyBorder="1" applyAlignment="1">
      <alignment horizontal="center"/>
    </xf>
    <xf numFmtId="169" fontId="4" fillId="27" borderId="83" xfId="76" applyNumberFormat="1" applyFont="1" applyFill="1" applyBorder="1" applyAlignment="1">
      <alignment horizontal="center"/>
    </xf>
    <xf numFmtId="169" fontId="4" fillId="27" borderId="28" xfId="76" applyNumberFormat="1" applyFont="1" applyFill="1" applyBorder="1" applyAlignment="1">
      <alignment horizontal="center"/>
    </xf>
    <xf numFmtId="169" fontId="4" fillId="27" borderId="29" xfId="76" applyNumberFormat="1" applyFont="1" applyFill="1" applyBorder="1" applyAlignment="1">
      <alignment horizontal="center"/>
    </xf>
    <xf numFmtId="169" fontId="22" fillId="27" borderId="59" xfId="76" applyNumberFormat="1" applyFont="1" applyFill="1" applyBorder="1" applyAlignment="1">
      <alignment horizontal="center"/>
    </xf>
    <xf numFmtId="169" fontId="22" fillId="27" borderId="84" xfId="76" applyNumberFormat="1" applyFont="1" applyFill="1" applyBorder="1" applyAlignment="1">
      <alignment horizontal="center"/>
    </xf>
    <xf numFmtId="169" fontId="22" fillId="27" borderId="24" xfId="76" applyNumberFormat="1" applyFont="1" applyFill="1" applyBorder="1" applyAlignment="1">
      <alignment horizontal="center"/>
    </xf>
    <xf numFmtId="169" fontId="22" fillId="27" borderId="25" xfId="76" applyNumberFormat="1" applyFont="1" applyFill="1" applyBorder="1" applyAlignment="1">
      <alignment horizontal="center"/>
    </xf>
    <xf numFmtId="169" fontId="22" fillId="27" borderId="31" xfId="76" applyNumberFormat="1" applyFont="1" applyFill="1" applyBorder="1" applyAlignment="1">
      <alignment horizontal="center"/>
    </xf>
    <xf numFmtId="0" fontId="2" fillId="27" borderId="43" xfId="76" applyFont="1" applyFill="1" applyBorder="1" applyAlignment="1">
      <alignment horizontal="center"/>
    </xf>
    <xf numFmtId="181" fontId="22" fillId="25" borderId="37" xfId="76" applyNumberFormat="1" applyFont="1" applyFill="1" applyBorder="1" applyAlignment="1">
      <alignment horizontal="center"/>
    </xf>
    <xf numFmtId="181" fontId="22" fillId="25" borderId="38" xfId="76" applyNumberFormat="1" applyFont="1" applyFill="1" applyBorder="1" applyAlignment="1">
      <alignment horizontal="center"/>
    </xf>
    <xf numFmtId="2" fontId="2" fillId="27" borderId="0" xfId="76" applyNumberFormat="1" applyFont="1" applyFill="1" applyBorder="1" applyAlignment="1">
      <alignment horizontal="center"/>
    </xf>
    <xf numFmtId="181" fontId="2" fillId="27" borderId="0" xfId="76" applyNumberFormat="1" applyFont="1" applyFill="1" applyBorder="1" applyAlignment="1">
      <alignment horizontal="center"/>
    </xf>
    <xf numFmtId="181" fontId="22" fillId="25" borderId="83" xfId="76" applyNumberFormat="1" applyFont="1" applyFill="1" applyBorder="1" applyAlignment="1">
      <alignment horizontal="center"/>
    </xf>
    <xf numFmtId="0" fontId="66" fillId="30" borderId="0" xfId="76" applyFont="1" applyFill="1" applyBorder="1"/>
    <xf numFmtId="2" fontId="2" fillId="27" borderId="32" xfId="76" applyNumberFormat="1" applyFont="1" applyFill="1" applyBorder="1"/>
    <xf numFmtId="10" fontId="2" fillId="27" borderId="0" xfId="76" applyNumberFormat="1" applyFont="1" applyFill="1" applyBorder="1" applyAlignment="1">
      <alignment horizontal="center"/>
    </xf>
    <xf numFmtId="181" fontId="22" fillId="25" borderId="40" xfId="76" applyNumberFormat="1" applyFont="1" applyFill="1" applyBorder="1" applyAlignment="1">
      <alignment horizontal="center"/>
    </xf>
    <xf numFmtId="0" fontId="4" fillId="27" borderId="12" xfId="76" applyFill="1" applyBorder="1"/>
    <xf numFmtId="0" fontId="2" fillId="25" borderId="85" xfId="76" applyFont="1" applyFill="1" applyBorder="1" applyAlignment="1">
      <alignment horizontal="center"/>
    </xf>
    <xf numFmtId="169" fontId="22" fillId="25" borderId="37" xfId="76" applyNumberFormat="1" applyFont="1" applyFill="1" applyBorder="1" applyAlignment="1">
      <alignment horizontal="center"/>
    </xf>
    <xf numFmtId="2" fontId="22" fillId="27" borderId="0" xfId="76" applyNumberFormat="1" applyFont="1" applyFill="1" applyBorder="1" applyAlignment="1">
      <alignment horizontal="center"/>
    </xf>
    <xf numFmtId="2" fontId="4" fillId="27" borderId="0" xfId="76" applyNumberFormat="1" applyFill="1" applyBorder="1"/>
    <xf numFmtId="0" fontId="2" fillId="27" borderId="23" xfId="76" applyFont="1" applyFill="1" applyBorder="1"/>
    <xf numFmtId="1" fontId="2" fillId="27" borderId="0" xfId="76" applyNumberFormat="1" applyFont="1" applyFill="1" applyBorder="1"/>
    <xf numFmtId="171" fontId="2" fillId="27" borderId="0" xfId="76" applyNumberFormat="1" applyFont="1" applyFill="1" applyBorder="1"/>
    <xf numFmtId="2" fontId="23" fillId="27" borderId="0" xfId="77" applyNumberFormat="1" applyFont="1" applyFill="1" applyBorder="1" applyAlignment="1">
      <alignment horizontal="right" vertical="center" indent="1"/>
    </xf>
    <xf numFmtId="9" fontId="4" fillId="27" borderId="0" xfId="76" applyNumberFormat="1" applyFill="1" applyBorder="1"/>
    <xf numFmtId="169" fontId="22" fillId="25" borderId="40" xfId="76" applyNumberFormat="1" applyFont="1" applyFill="1" applyBorder="1" applyAlignment="1">
      <alignment horizontal="center"/>
    </xf>
    <xf numFmtId="10" fontId="4" fillId="27" borderId="0" xfId="72" applyNumberFormat="1" applyFont="1" applyFill="1" applyBorder="1"/>
    <xf numFmtId="181" fontId="22" fillId="25" borderId="35" xfId="76" applyNumberFormat="1" applyFont="1" applyFill="1" applyBorder="1" applyAlignment="1">
      <alignment horizontal="center"/>
    </xf>
    <xf numFmtId="181" fontId="22" fillId="25" borderId="45" xfId="76" applyNumberFormat="1" applyFont="1" applyFill="1" applyBorder="1" applyAlignment="1">
      <alignment horizontal="center"/>
    </xf>
    <xf numFmtId="181" fontId="22" fillId="25" borderId="41" xfId="76" applyNumberFormat="1" applyFont="1" applyFill="1" applyBorder="1" applyAlignment="1">
      <alignment horizontal="center"/>
    </xf>
    <xf numFmtId="0" fontId="4" fillId="30" borderId="0" xfId="76" applyFill="1"/>
    <xf numFmtId="0" fontId="0" fillId="27" borderId="47" xfId="0" applyFill="1" applyBorder="1" applyAlignment="1">
      <alignment horizontal="center" vertical="center"/>
    </xf>
    <xf numFmtId="0" fontId="4" fillId="27" borderId="60" xfId="76" applyFill="1" applyBorder="1"/>
    <xf numFmtId="0" fontId="4" fillId="27" borderId="0" xfId="76" applyFont="1" applyFill="1" applyBorder="1" applyAlignment="1">
      <alignment horizontal="right"/>
    </xf>
    <xf numFmtId="0" fontId="4" fillId="27" borderId="86" xfId="76" applyFill="1" applyBorder="1"/>
    <xf numFmtId="2" fontId="22" fillId="26" borderId="36" xfId="76" applyNumberFormat="1" applyFont="1" applyFill="1" applyBorder="1" applyAlignment="1">
      <alignment horizontal="center"/>
    </xf>
    <xf numFmtId="2" fontId="4" fillId="27" borderId="87" xfId="76" applyNumberFormat="1" applyFont="1" applyFill="1" applyBorder="1"/>
    <xf numFmtId="173" fontId="2" fillId="27" borderId="0" xfId="72" applyNumberFormat="1" applyFont="1" applyFill="1" applyBorder="1"/>
    <xf numFmtId="169" fontId="2" fillId="27" borderId="88" xfId="76" applyNumberFormat="1" applyFont="1" applyFill="1" applyBorder="1"/>
    <xf numFmtId="2" fontId="22" fillId="26" borderId="39" xfId="76" applyNumberFormat="1" applyFont="1" applyFill="1" applyBorder="1" applyAlignment="1">
      <alignment horizontal="center"/>
    </xf>
    <xf numFmtId="0" fontId="4" fillId="27" borderId="43" xfId="75" applyFill="1" applyBorder="1" applyProtection="1"/>
    <xf numFmtId="0" fontId="2" fillId="27" borderId="32" xfId="76" applyFont="1" applyFill="1" applyBorder="1" applyAlignment="1">
      <alignment horizontal="center"/>
    </xf>
    <xf numFmtId="0" fontId="2" fillId="27" borderId="33" xfId="76" applyFont="1" applyFill="1" applyBorder="1" applyAlignment="1">
      <alignment horizontal="center"/>
    </xf>
    <xf numFmtId="0" fontId="2" fillId="27" borderId="34" xfId="76" applyFont="1" applyFill="1" applyBorder="1"/>
    <xf numFmtId="2" fontId="22" fillId="27" borderId="35" xfId="76" applyNumberFormat="1" applyFont="1" applyFill="1" applyBorder="1" applyAlignment="1">
      <alignment horizontal="center"/>
    </xf>
    <xf numFmtId="2" fontId="22" fillId="27" borderId="45" xfId="76" applyNumberFormat="1" applyFont="1" applyFill="1" applyBorder="1" applyAlignment="1">
      <alignment horizontal="center"/>
    </xf>
    <xf numFmtId="0" fontId="2" fillId="27" borderId="36" xfId="76" applyFont="1" applyFill="1" applyBorder="1"/>
    <xf numFmtId="2" fontId="22" fillId="27" borderId="37" xfId="76" applyNumberFormat="1" applyFont="1" applyFill="1" applyBorder="1" applyAlignment="1">
      <alignment horizontal="center"/>
    </xf>
    <xf numFmtId="2" fontId="22" fillId="27" borderId="38" xfId="76" applyNumberFormat="1" applyFont="1" applyFill="1" applyBorder="1" applyAlignment="1">
      <alignment horizontal="center"/>
    </xf>
    <xf numFmtId="0" fontId="2" fillId="27" borderId="39" xfId="76" applyFont="1" applyFill="1" applyBorder="1"/>
    <xf numFmtId="2" fontId="22" fillId="27" borderId="40" xfId="76" applyNumberFormat="1" applyFont="1" applyFill="1" applyBorder="1" applyAlignment="1">
      <alignment horizontal="center"/>
    </xf>
    <xf numFmtId="2" fontId="22" fillId="27" borderId="41" xfId="76" applyNumberFormat="1" applyFont="1" applyFill="1" applyBorder="1" applyAlignment="1">
      <alignment horizontal="center"/>
    </xf>
    <xf numFmtId="2" fontId="22" fillId="26" borderId="34" xfId="76" applyNumberFormat="1" applyFont="1" applyFill="1" applyBorder="1" applyAlignment="1">
      <alignment horizontal="center"/>
    </xf>
    <xf numFmtId="0" fontId="4" fillId="27" borderId="89" xfId="76" applyFill="1" applyBorder="1"/>
    <xf numFmtId="0" fontId="2" fillId="27" borderId="12" xfId="76" applyFont="1" applyFill="1" applyBorder="1" applyAlignment="1">
      <alignment horizontal="center"/>
    </xf>
    <xf numFmtId="169" fontId="2" fillId="27" borderId="12" xfId="76" applyNumberFormat="1" applyFont="1" applyFill="1" applyBorder="1" applyAlignment="1">
      <alignment horizontal="center"/>
    </xf>
    <xf numFmtId="0" fontId="4" fillId="27" borderId="90" xfId="76" applyFill="1" applyBorder="1"/>
    <xf numFmtId="2" fontId="2" fillId="27" borderId="0" xfId="76" applyNumberFormat="1" applyFont="1" applyFill="1" applyBorder="1" applyAlignment="1">
      <alignment horizontal="right"/>
    </xf>
    <xf numFmtId="0" fontId="46" fillId="30" borderId="0" xfId="75" applyFont="1" applyFill="1" applyBorder="1" applyProtection="1"/>
    <xf numFmtId="0" fontId="4" fillId="27" borderId="0" xfId="76" applyFill="1" applyBorder="1" applyAlignment="1">
      <alignment wrapText="1"/>
    </xf>
    <xf numFmtId="0" fontId="2" fillId="27" borderId="0" xfId="76" applyFont="1" applyFill="1" applyBorder="1" applyAlignment="1">
      <alignment wrapText="1"/>
    </xf>
    <xf numFmtId="0" fontId="46" fillId="27" borderId="0" xfId="76" applyFont="1" applyFill="1" applyBorder="1" applyAlignment="1">
      <alignment wrapText="1"/>
    </xf>
    <xf numFmtId="0" fontId="46" fillId="30" borderId="42" xfId="76" applyFont="1" applyFill="1" applyBorder="1"/>
    <xf numFmtId="169" fontId="22" fillId="27" borderId="82" xfId="76" applyNumberFormat="1" applyFont="1" applyFill="1" applyBorder="1" applyAlignment="1">
      <alignment horizontal="center"/>
    </xf>
    <xf numFmtId="169" fontId="22" fillId="27" borderId="28" xfId="76" applyNumberFormat="1" applyFont="1" applyFill="1" applyBorder="1" applyAlignment="1">
      <alignment horizontal="center"/>
    </xf>
    <xf numFmtId="169" fontId="22" fillId="27" borderId="29" xfId="76" applyNumberFormat="1" applyFont="1" applyFill="1" applyBorder="1" applyAlignment="1">
      <alignment horizontal="center"/>
    </xf>
    <xf numFmtId="0" fontId="0" fillId="27" borderId="0" xfId="0" applyFill="1" applyAlignment="1"/>
    <xf numFmtId="166" fontId="4" fillId="24" borderId="0" xfId="0" applyNumberFormat="1" applyFont="1" applyFill="1" applyBorder="1" applyAlignment="1" applyProtection="1">
      <alignment horizontal="center" wrapText="1"/>
    </xf>
    <xf numFmtId="0" fontId="0" fillId="24" borderId="0" xfId="0" applyFill="1" applyBorder="1" applyAlignment="1" applyProtection="1">
      <alignment horizontal="center" wrapText="1"/>
    </xf>
    <xf numFmtId="166" fontId="0" fillId="24" borderId="95" xfId="0" applyNumberFormat="1" applyFill="1" applyBorder="1" applyAlignment="1" applyProtection="1">
      <alignment wrapText="1"/>
    </xf>
    <xf numFmtId="177" fontId="54" fillId="27" borderId="95" xfId="0" applyNumberFormat="1" applyFont="1" applyFill="1" applyBorder="1" applyAlignment="1" applyProtection="1">
      <alignment horizontal="right" indent="1"/>
    </xf>
    <xf numFmtId="177" fontId="54" fillId="27" borderId="47" xfId="0" applyNumberFormat="1" applyFont="1" applyFill="1" applyBorder="1" applyAlignment="1" applyProtection="1">
      <alignment horizontal="right" indent="1"/>
    </xf>
    <xf numFmtId="176" fontId="48" fillId="27" borderId="96" xfId="0" applyNumberFormat="1" applyFont="1" applyFill="1" applyBorder="1" applyProtection="1"/>
    <xf numFmtId="165" fontId="4" fillId="27" borderId="97" xfId="0" applyNumberFormat="1" applyFont="1" applyFill="1" applyBorder="1" applyAlignment="1" applyProtection="1">
      <alignment horizontal="right" indent="2"/>
    </xf>
    <xf numFmtId="176" fontId="48" fillId="27" borderId="98" xfId="0" applyNumberFormat="1" applyFont="1" applyFill="1" applyBorder="1" applyProtection="1"/>
    <xf numFmtId="166" fontId="4" fillId="27" borderId="99" xfId="54" applyFont="1" applyFill="1" applyBorder="1" applyAlignment="1" applyProtection="1">
      <alignment horizontal="left" indent="3"/>
    </xf>
    <xf numFmtId="165" fontId="4" fillId="27" borderId="100" xfId="0" applyNumberFormat="1" applyFont="1" applyFill="1" applyBorder="1" applyAlignment="1" applyProtection="1">
      <alignment horizontal="right" indent="2"/>
    </xf>
    <xf numFmtId="177" fontId="54" fillId="27" borderId="16" xfId="0" applyNumberFormat="1" applyFont="1" applyFill="1" applyBorder="1" applyAlignment="1" applyProtection="1">
      <alignment horizontal="right" indent="1"/>
    </xf>
    <xf numFmtId="176" fontId="48" fillId="24" borderId="96" xfId="0" applyNumberFormat="1" applyFont="1" applyFill="1" applyBorder="1" applyProtection="1"/>
    <xf numFmtId="1" fontId="53" fillId="24" borderId="97" xfId="0" applyNumberFormat="1" applyFont="1" applyFill="1" applyBorder="1" applyProtection="1"/>
    <xf numFmtId="0" fontId="4" fillId="24" borderId="104" xfId="75" applyFill="1" applyBorder="1" applyProtection="1"/>
    <xf numFmtId="0" fontId="4" fillId="24" borderId="99" xfId="75" applyFont="1" applyFill="1" applyBorder="1" applyAlignment="1" applyProtection="1">
      <alignment horizontal="right"/>
    </xf>
    <xf numFmtId="178" fontId="55" fillId="24" borderId="105" xfId="0" applyNumberFormat="1" applyFont="1" applyFill="1" applyBorder="1" applyAlignment="1" applyProtection="1">
      <alignment horizontal="center"/>
    </xf>
    <xf numFmtId="0" fontId="67" fillId="0" borderId="0" xfId="76" applyFont="1" applyFill="1" applyBorder="1"/>
    <xf numFmtId="0" fontId="68" fillId="0" borderId="0" xfId="76" applyFont="1" applyFill="1" applyBorder="1" applyAlignment="1">
      <alignment horizontal="center"/>
    </xf>
    <xf numFmtId="0" fontId="68" fillId="0" borderId="0" xfId="76" applyFont="1" applyFill="1" applyBorder="1"/>
    <xf numFmtId="2" fontId="68" fillId="0" borderId="0" xfId="76" applyNumberFormat="1" applyFont="1" applyFill="1" applyBorder="1"/>
    <xf numFmtId="169" fontId="68" fillId="0" borderId="0" xfId="76" applyNumberFormat="1" applyFont="1" applyFill="1" applyBorder="1"/>
    <xf numFmtId="171" fontId="68" fillId="0" borderId="0" xfId="76" applyNumberFormat="1" applyFont="1" applyFill="1" applyBorder="1"/>
    <xf numFmtId="0" fontId="68" fillId="0" borderId="47" xfId="76" applyFont="1" applyFill="1" applyBorder="1"/>
    <xf numFmtId="2" fontId="68" fillId="0" borderId="47" xfId="76" applyNumberFormat="1" applyFont="1" applyFill="1" applyBorder="1"/>
    <xf numFmtId="0" fontId="4" fillId="27" borderId="10" xfId="76" applyFill="1" applyBorder="1"/>
    <xf numFmtId="0" fontId="68" fillId="0" borderId="10" xfId="76" applyFont="1" applyFill="1" applyBorder="1" applyAlignment="1">
      <alignment horizontal="center"/>
    </xf>
    <xf numFmtId="2" fontId="68" fillId="0" borderId="10" xfId="76" applyNumberFormat="1" applyFont="1" applyFill="1" applyBorder="1"/>
    <xf numFmtId="171" fontId="68" fillId="0" borderId="10" xfId="76" applyNumberFormat="1" applyFont="1" applyFill="1" applyBorder="1"/>
    <xf numFmtId="2" fontId="68" fillId="0" borderId="106" xfId="76" applyNumberFormat="1" applyFont="1" applyFill="1" applyBorder="1"/>
    <xf numFmtId="0" fontId="67" fillId="27" borderId="0" xfId="76" applyFont="1" applyFill="1" applyBorder="1"/>
    <xf numFmtId="0" fontId="69" fillId="0" borderId="0" xfId="0" applyFont="1"/>
    <xf numFmtId="169" fontId="22" fillId="25" borderId="35" xfId="76" applyNumberFormat="1" applyFont="1" applyFill="1" applyBorder="1" applyAlignment="1">
      <alignment horizontal="center"/>
    </xf>
    <xf numFmtId="169" fontId="22" fillId="25" borderId="45" xfId="76" applyNumberFormat="1" applyFont="1" applyFill="1" applyBorder="1" applyAlignment="1">
      <alignment horizontal="center"/>
    </xf>
    <xf numFmtId="169" fontId="22" fillId="25" borderId="38" xfId="76" applyNumberFormat="1" applyFont="1" applyFill="1" applyBorder="1" applyAlignment="1">
      <alignment horizontal="center"/>
    </xf>
    <xf numFmtId="169" fontId="22" fillId="25" borderId="41" xfId="76" applyNumberFormat="1" applyFont="1" applyFill="1" applyBorder="1" applyAlignment="1">
      <alignment horizontal="center"/>
    </xf>
    <xf numFmtId="170" fontId="2" fillId="27" borderId="0" xfId="76" applyNumberFormat="1" applyFont="1" applyFill="1" applyBorder="1"/>
    <xf numFmtId="1" fontId="4" fillId="0" borderId="0" xfId="0" applyNumberFormat="1" applyFont="1"/>
    <xf numFmtId="1" fontId="4" fillId="0" borderId="0" xfId="78" applyNumberFormat="1" applyFont="1" applyProtection="1"/>
    <xf numFmtId="1" fontId="4" fillId="0" borderId="0" xfId="78" applyNumberFormat="1" applyFont="1" applyBorder="1" applyProtection="1"/>
    <xf numFmtId="0" fontId="4" fillId="0" borderId="0" xfId="0" applyFont="1"/>
    <xf numFmtId="172" fontId="2" fillId="27" borderId="0" xfId="78" applyNumberFormat="1" applyFont="1" applyFill="1" applyBorder="1" applyAlignment="1" applyProtection="1">
      <alignment horizontal="center"/>
    </xf>
    <xf numFmtId="0" fontId="2" fillId="0" borderId="0" xfId="78" applyFont="1" applyFill="1" applyBorder="1" applyProtection="1"/>
    <xf numFmtId="0" fontId="4" fillId="0" borderId="10" xfId="78" applyFill="1" applyBorder="1" applyProtection="1"/>
    <xf numFmtId="167" fontId="4" fillId="26" borderId="0" xfId="78" applyNumberFormat="1" applyFont="1" applyFill="1" applyBorder="1" applyAlignment="1" applyProtection="1">
      <alignment horizontal="center"/>
      <protection locked="0"/>
    </xf>
    <xf numFmtId="0" fontId="4" fillId="0" borderId="11" xfId="78" applyFont="1" applyFill="1" applyBorder="1" applyProtection="1"/>
    <xf numFmtId="0" fontId="4" fillId="0" borderId="10" xfId="78" applyBorder="1" applyProtection="1"/>
    <xf numFmtId="178" fontId="2" fillId="0" borderId="63" xfId="78" applyNumberFormat="1" applyFont="1" applyBorder="1" applyAlignment="1" applyProtection="1">
      <alignment horizontal="center"/>
    </xf>
    <xf numFmtId="0" fontId="2" fillId="0" borderId="0" xfId="78" applyFont="1" applyFill="1" applyBorder="1" applyAlignment="1" applyProtection="1">
      <alignment horizontal="right"/>
    </xf>
    <xf numFmtId="0" fontId="4" fillId="0" borderId="10" xfId="78" applyBorder="1" applyAlignment="1" applyProtection="1">
      <alignment horizontal="right"/>
    </xf>
    <xf numFmtId="0" fontId="4" fillId="0" borderId="11" xfId="78" applyBorder="1" applyAlignment="1" applyProtection="1">
      <alignment horizontal="right"/>
    </xf>
    <xf numFmtId="0" fontId="4" fillId="0" borderId="0" xfId="78" applyFill="1" applyBorder="1" applyAlignment="1" applyProtection="1">
      <alignment horizontal="right"/>
    </xf>
    <xf numFmtId="1" fontId="4" fillId="0" borderId="0" xfId="0" applyNumberFormat="1" applyFont="1" applyAlignment="1">
      <alignment horizontal="right"/>
    </xf>
    <xf numFmtId="0" fontId="4" fillId="0" borderId="0" xfId="0" applyFont="1" applyAlignment="1">
      <alignment horizontal="right"/>
    </xf>
    <xf numFmtId="0" fontId="4" fillId="0" borderId="0" xfId="78" applyFont="1" applyAlignment="1" applyProtection="1">
      <alignment horizontal="right"/>
    </xf>
    <xf numFmtId="170" fontId="4" fillId="0" borderId="0" xfId="78" applyNumberFormat="1" applyFont="1" applyProtection="1"/>
    <xf numFmtId="168" fontId="14" fillId="27" borderId="0" xfId="0" applyNumberFormat="1" applyFont="1" applyFill="1" applyBorder="1" applyProtection="1"/>
    <xf numFmtId="172" fontId="4" fillId="27" borderId="0" xfId="0" applyNumberFormat="1" applyFont="1" applyFill="1" applyBorder="1" applyProtection="1"/>
    <xf numFmtId="0" fontId="2" fillId="27" borderId="0" xfId="0" applyFont="1" applyFill="1" applyBorder="1" applyProtection="1"/>
    <xf numFmtId="168" fontId="2" fillId="27" borderId="0" xfId="0" applyNumberFormat="1" applyFont="1" applyFill="1" applyBorder="1" applyAlignment="1" applyProtection="1">
      <alignment horizontal="right"/>
      <protection locked="0"/>
    </xf>
    <xf numFmtId="10" fontId="4" fillId="27" borderId="0" xfId="72" applyNumberFormat="1" applyFont="1" applyFill="1" applyBorder="1" applyProtection="1"/>
    <xf numFmtId="175" fontId="4" fillId="27" borderId="0" xfId="0" applyNumberFormat="1" applyFont="1" applyFill="1" applyBorder="1" applyProtection="1"/>
    <xf numFmtId="0" fontId="62" fillId="27" borderId="21" xfId="75" applyFont="1" applyFill="1" applyBorder="1" applyProtection="1"/>
    <xf numFmtId="0" fontId="62" fillId="27" borderId="67" xfId="0" applyNumberFormat="1" applyFont="1" applyFill="1" applyBorder="1" applyAlignment="1" applyProtection="1">
      <alignment horizontal="right"/>
    </xf>
    <xf numFmtId="0" fontId="62" fillId="27" borderId="22" xfId="75" applyFont="1" applyFill="1" applyBorder="1" applyProtection="1"/>
    <xf numFmtId="166" fontId="4" fillId="27" borderId="0" xfId="54" applyFont="1" applyFill="1" applyProtection="1"/>
    <xf numFmtId="166" fontId="4" fillId="27" borderId="0" xfId="75" applyNumberFormat="1" applyFill="1" applyProtection="1"/>
    <xf numFmtId="180" fontId="4" fillId="27" borderId="107" xfId="72" applyNumberFormat="1" applyFont="1" applyFill="1" applyBorder="1" applyProtection="1">
      <protection locked="0"/>
    </xf>
    <xf numFmtId="180" fontId="4" fillId="27" borderId="108" xfId="72" applyNumberFormat="1" applyFont="1" applyFill="1" applyBorder="1" applyProtection="1">
      <protection locked="0"/>
    </xf>
    <xf numFmtId="174" fontId="4" fillId="27" borderId="107" xfId="72" applyNumberFormat="1" applyFont="1" applyFill="1" applyBorder="1" applyProtection="1">
      <protection locked="0"/>
    </xf>
    <xf numFmtId="174" fontId="4" fillId="27" borderId="108" xfId="72" applyNumberFormat="1" applyFont="1" applyFill="1" applyBorder="1" applyProtection="1">
      <protection locked="0"/>
    </xf>
    <xf numFmtId="0" fontId="6" fillId="27" borderId="109" xfId="75" applyFont="1" applyFill="1" applyBorder="1" applyAlignment="1" applyProtection="1">
      <alignment wrapText="1"/>
      <protection locked="0"/>
    </xf>
    <xf numFmtId="0" fontId="6" fillId="27" borderId="0" xfId="75" applyFont="1" applyFill="1" applyAlignment="1" applyProtection="1">
      <alignment wrapText="1"/>
      <protection locked="0"/>
    </xf>
    <xf numFmtId="10" fontId="4" fillId="27" borderId="0" xfId="75" applyNumberFormat="1" applyFill="1" applyAlignment="1" applyProtection="1">
      <alignment horizontal="left"/>
      <protection locked="0"/>
    </xf>
    <xf numFmtId="2" fontId="4" fillId="27" borderId="0" xfId="75" applyNumberFormat="1" applyFont="1" applyFill="1" applyProtection="1">
      <protection locked="0"/>
    </xf>
    <xf numFmtId="0" fontId="4" fillId="27" borderId="0" xfId="74" applyFont="1" applyFill="1" applyAlignment="1" applyProtection="1">
      <alignment horizontal="right"/>
    </xf>
    <xf numFmtId="167" fontId="4" fillId="0" borderId="0" xfId="75" applyNumberFormat="1" applyProtection="1"/>
    <xf numFmtId="168" fontId="14" fillId="27" borderId="15" xfId="0" applyNumberFormat="1" applyFont="1" applyFill="1" applyBorder="1" applyAlignment="1" applyProtection="1"/>
    <xf numFmtId="164" fontId="14" fillId="27" borderId="19" xfId="0" applyNumberFormat="1" applyFont="1" applyFill="1" applyBorder="1" applyProtection="1"/>
    <xf numFmtId="164" fontId="14" fillId="27" borderId="18" xfId="0" applyNumberFormat="1" applyFont="1" applyFill="1" applyBorder="1" applyAlignment="1" applyProtection="1"/>
    <xf numFmtId="164" fontId="14" fillId="27" borderId="15" xfId="0" applyNumberFormat="1" applyFont="1" applyFill="1" applyBorder="1" applyProtection="1"/>
    <xf numFmtId="164" fontId="14" fillId="27" borderId="22" xfId="0" applyNumberFormat="1" applyFont="1" applyFill="1" applyBorder="1" applyProtection="1"/>
    <xf numFmtId="2" fontId="4" fillId="27" borderId="0" xfId="75" applyNumberFormat="1" applyFont="1" applyFill="1" applyAlignment="1" applyProtection="1">
      <protection locked="0"/>
    </xf>
    <xf numFmtId="14" fontId="4" fillId="27" borderId="0" xfId="75" applyNumberFormat="1" applyFont="1" applyFill="1" applyAlignment="1" applyProtection="1">
      <alignment horizontal="right"/>
    </xf>
    <xf numFmtId="0" fontId="16" fillId="27" borderId="0" xfId="75" applyFont="1" applyFill="1" applyAlignment="1" applyProtection="1">
      <alignment horizontal="left" wrapText="1"/>
    </xf>
    <xf numFmtId="0" fontId="60" fillId="27" borderId="0" xfId="74" applyFont="1" applyFill="1" applyProtection="1"/>
    <xf numFmtId="0" fontId="22" fillId="27" borderId="0" xfId="74" applyFont="1" applyFill="1" applyBorder="1" applyProtection="1"/>
    <xf numFmtId="0" fontId="22" fillId="24" borderId="0" xfId="74" applyFont="1" applyFill="1" applyProtection="1"/>
    <xf numFmtId="0" fontId="0" fillId="24" borderId="65" xfId="0" applyFill="1" applyBorder="1" applyAlignment="1" applyProtection="1">
      <alignment wrapText="1"/>
    </xf>
    <xf numFmtId="0" fontId="2" fillId="27" borderId="0" xfId="75" applyFont="1" applyFill="1" applyAlignment="1" applyProtection="1"/>
    <xf numFmtId="0" fontId="7" fillId="27" borderId="0" xfId="75" applyFont="1" applyFill="1" applyBorder="1" applyAlignment="1" applyProtection="1"/>
    <xf numFmtId="0" fontId="2" fillId="27" borderId="0" xfId="75" applyFont="1" applyFill="1" applyAlignment="1" applyProtection="1">
      <protection locked="0"/>
    </xf>
    <xf numFmtId="0" fontId="4" fillId="27" borderId="0" xfId="75" applyFill="1" applyAlignment="1" applyProtection="1"/>
    <xf numFmtId="0" fontId="2" fillId="24" borderId="44" xfId="75" applyFont="1" applyFill="1" applyBorder="1" applyAlignment="1" applyProtection="1"/>
    <xf numFmtId="0" fontId="2" fillId="24" borderId="32" xfId="75" applyFont="1" applyFill="1" applyBorder="1" applyAlignment="1" applyProtection="1"/>
    <xf numFmtId="0" fontId="2" fillId="24" borderId="33" xfId="75" applyFont="1" applyFill="1" applyBorder="1" applyAlignment="1" applyProtection="1"/>
    <xf numFmtId="0" fontId="2" fillId="24" borderId="101" xfId="75" applyFont="1" applyFill="1" applyBorder="1" applyAlignment="1" applyProtection="1"/>
    <xf numFmtId="0" fontId="2" fillId="24" borderId="102" xfId="75" applyFont="1" applyFill="1" applyBorder="1" applyAlignment="1" applyProtection="1"/>
    <xf numFmtId="0" fontId="2" fillId="24" borderId="103" xfId="75" applyFont="1" applyFill="1" applyBorder="1" applyAlignment="1" applyProtection="1"/>
    <xf numFmtId="10" fontId="2" fillId="32" borderId="37" xfId="76" applyNumberFormat="1" applyFont="1" applyFill="1" applyBorder="1"/>
    <xf numFmtId="0" fontId="4" fillId="27" borderId="13" xfId="75" applyFill="1" applyBorder="1" applyProtection="1"/>
    <xf numFmtId="0" fontId="4" fillId="27" borderId="66" xfId="75" applyFill="1" applyBorder="1" applyProtection="1"/>
    <xf numFmtId="179" fontId="4" fillId="27" borderId="83" xfId="72" applyNumberFormat="1" applyFont="1" applyFill="1" applyBorder="1" applyAlignment="1" applyProtection="1">
      <alignment horizontal="center"/>
    </xf>
    <xf numFmtId="174" fontId="14" fillId="27" borderId="121" xfId="72" applyNumberFormat="1" applyFont="1" applyFill="1" applyBorder="1" applyProtection="1"/>
    <xf numFmtId="174" fontId="16" fillId="27" borderId="121" xfId="72" applyNumberFormat="1" applyFont="1" applyFill="1" applyBorder="1" applyProtection="1"/>
    <xf numFmtId="0" fontId="0" fillId="0" borderId="0" xfId="0" applyAlignment="1"/>
    <xf numFmtId="0" fontId="16" fillId="27" borderId="0" xfId="75" applyFont="1" applyFill="1" applyAlignment="1" applyProtection="1">
      <alignment horizontal="left" wrapText="1"/>
    </xf>
    <xf numFmtId="0" fontId="0" fillId="0" borderId="0" xfId="0" applyBorder="1" applyAlignment="1"/>
    <xf numFmtId="0" fontId="1" fillId="27" borderId="0" xfId="90" applyFill="1" applyProtection="1"/>
    <xf numFmtId="0" fontId="10" fillId="27" borderId="0" xfId="90" applyFont="1" applyFill="1" applyProtection="1"/>
    <xf numFmtId="0" fontId="53" fillId="27" borderId="0" xfId="75" applyFont="1" applyFill="1" applyProtection="1"/>
    <xf numFmtId="166" fontId="53" fillId="27" borderId="0" xfId="54" applyFont="1" applyFill="1" applyProtection="1"/>
    <xf numFmtId="0" fontId="11" fillId="27" borderId="0" xfId="75" applyFont="1" applyFill="1" applyAlignment="1" applyProtection="1">
      <alignment horizontal="center"/>
    </xf>
    <xf numFmtId="166" fontId="11" fillId="27" borderId="0" xfId="54" applyFont="1" applyFill="1" applyProtection="1"/>
    <xf numFmtId="0" fontId="4" fillId="27" borderId="0" xfId="75" applyFont="1" applyFill="1" applyAlignment="1" applyProtection="1">
      <alignment horizontal="left"/>
    </xf>
    <xf numFmtId="0" fontId="74" fillId="31" borderId="0" xfId="90" applyFont="1" applyFill="1" applyAlignment="1" applyProtection="1">
      <alignment horizontal="left" vertical="center" wrapText="1" readingOrder="1"/>
    </xf>
    <xf numFmtId="0" fontId="53" fillId="31" borderId="0" xfId="75" applyFont="1" applyFill="1" applyAlignment="1" applyProtection="1">
      <alignment horizontal="left"/>
    </xf>
    <xf numFmtId="166" fontId="53" fillId="31" borderId="0" xfId="54" applyFont="1" applyFill="1" applyAlignment="1" applyProtection="1">
      <alignment horizontal="left"/>
    </xf>
    <xf numFmtId="0" fontId="4" fillId="31" borderId="0" xfId="75" applyFont="1" applyFill="1" applyAlignment="1" applyProtection="1">
      <alignment horizontal="left"/>
    </xf>
    <xf numFmtId="0" fontId="4" fillId="0" borderId="131" xfId="90" applyFont="1" applyBorder="1" applyProtection="1"/>
    <xf numFmtId="171" fontId="4" fillId="0" borderId="0" xfId="78" applyNumberFormat="1" applyBorder="1" applyAlignment="1" applyProtection="1">
      <alignment horizontal="center"/>
    </xf>
    <xf numFmtId="0" fontId="8" fillId="0" borderId="0" xfId="78" applyFont="1" applyBorder="1" applyProtection="1"/>
    <xf numFmtId="175" fontId="4" fillId="0" borderId="132" xfId="90" applyNumberFormat="1" applyFont="1" applyBorder="1" applyProtection="1"/>
    <xf numFmtId="174" fontId="4" fillId="0" borderId="132" xfId="72" applyNumberFormat="1" applyFont="1" applyBorder="1" applyAlignment="1" applyProtection="1">
      <alignment horizontal="center"/>
    </xf>
    <xf numFmtId="0" fontId="4" fillId="0" borderId="133" xfId="90" applyFont="1" applyBorder="1" applyProtection="1"/>
    <xf numFmtId="0" fontId="4" fillId="0" borderId="134" xfId="78" applyBorder="1" applyProtection="1"/>
    <xf numFmtId="168" fontId="13" fillId="0" borderId="135" xfId="90" applyNumberFormat="1" applyFont="1" applyBorder="1" applyAlignment="1" applyProtection="1">
      <alignment horizontal="center"/>
    </xf>
    <xf numFmtId="0" fontId="47" fillId="0" borderId="0" xfId="78" applyFont="1" applyAlignment="1" applyProtection="1">
      <alignment horizontal="right"/>
    </xf>
    <xf numFmtId="175" fontId="2" fillId="0" borderId="0" xfId="78" applyNumberFormat="1" applyFont="1" applyBorder="1" applyAlignment="1" applyProtection="1">
      <alignment horizontal="center"/>
    </xf>
    <xf numFmtId="0" fontId="4" fillId="0" borderId="131" xfId="90" applyFont="1" applyBorder="1" applyAlignment="1" applyProtection="1">
      <alignment wrapText="1"/>
    </xf>
    <xf numFmtId="0" fontId="77" fillId="27" borderId="0" xfId="75" applyFont="1" applyFill="1" applyAlignment="1" applyProtection="1"/>
    <xf numFmtId="0" fontId="47" fillId="27" borderId="0" xfId="75" applyFont="1" applyFill="1" applyAlignment="1" applyProtection="1">
      <alignment horizontal="left" vertical="center" wrapText="1"/>
    </xf>
    <xf numFmtId="0" fontId="79" fillId="27" borderId="0" xfId="75" applyFont="1" applyFill="1" applyAlignment="1" applyProtection="1"/>
    <xf numFmtId="14" fontId="73" fillId="34" borderId="22" xfId="0" applyNumberFormat="1" applyFont="1" applyFill="1" applyBorder="1" applyProtection="1">
      <protection locked="0"/>
    </xf>
    <xf numFmtId="14" fontId="73" fillId="34" borderId="16" xfId="0" applyNumberFormat="1" applyFont="1" applyFill="1" applyBorder="1" applyProtection="1">
      <protection locked="0"/>
    </xf>
    <xf numFmtId="2" fontId="73" fillId="34" borderId="15" xfId="0" applyNumberFormat="1" applyFont="1" applyFill="1" applyBorder="1" applyProtection="1">
      <protection locked="0"/>
    </xf>
    <xf numFmtId="164" fontId="73" fillId="34" borderId="16" xfId="54" applyNumberFormat="1" applyFont="1" applyFill="1" applyBorder="1" applyAlignment="1" applyProtection="1">
      <alignment horizontal="left" indent="3"/>
      <protection locked="0"/>
    </xf>
    <xf numFmtId="1" fontId="73" fillId="34" borderId="16" xfId="0" applyNumberFormat="1" applyFont="1" applyFill="1" applyBorder="1" applyAlignment="1" applyProtection="1">
      <alignment horizontal="right" indent="2"/>
      <protection locked="0"/>
    </xf>
    <xf numFmtId="172" fontId="73" fillId="34" borderId="22" xfId="0" applyNumberFormat="1" applyFont="1" applyFill="1" applyBorder="1" applyProtection="1">
      <protection locked="0"/>
    </xf>
    <xf numFmtId="168" fontId="80" fillId="34" borderId="19" xfId="0" applyNumberFormat="1" applyFont="1" applyFill="1" applyBorder="1" applyAlignment="1" applyProtection="1">
      <alignment horizontal="right"/>
      <protection locked="0"/>
    </xf>
    <xf numFmtId="10" fontId="73" fillId="34" borderId="22" xfId="72" applyNumberFormat="1" applyFont="1" applyFill="1" applyBorder="1" applyAlignment="1" applyProtection="1">
      <alignment horizontal="right" vertical="center" wrapText="1"/>
      <protection locked="0"/>
    </xf>
    <xf numFmtId="0" fontId="2" fillId="27" borderId="13" xfId="0" applyFont="1" applyFill="1" applyBorder="1" applyProtection="1"/>
    <xf numFmtId="0" fontId="2" fillId="27" borderId="17" xfId="0" applyFont="1" applyFill="1" applyBorder="1" applyProtection="1"/>
    <xf numFmtId="182" fontId="73" fillId="34" borderId="18" xfId="0" applyNumberFormat="1" applyFont="1" applyFill="1" applyBorder="1" applyAlignment="1" applyProtection="1">
      <alignment horizontal="right"/>
      <protection locked="0"/>
    </xf>
    <xf numFmtId="174" fontId="4" fillId="27" borderId="19" xfId="72" applyNumberFormat="1" applyFont="1" applyFill="1" applyBorder="1" applyProtection="1"/>
    <xf numFmtId="168" fontId="13" fillId="27" borderId="15" xfId="0" applyNumberFormat="1" applyFont="1" applyFill="1" applyBorder="1" applyProtection="1"/>
    <xf numFmtId="168" fontId="73" fillId="34" borderId="132" xfId="90" applyNumberFormat="1" applyFont="1" applyFill="1" applyBorder="1" applyProtection="1">
      <protection locked="0"/>
    </xf>
    <xf numFmtId="14" fontId="73" fillId="34" borderId="132" xfId="90" applyNumberFormat="1" applyFont="1" applyFill="1" applyBorder="1" applyProtection="1">
      <protection locked="0"/>
    </xf>
    <xf numFmtId="175" fontId="73" fillId="34" borderId="132" xfId="90" applyNumberFormat="1" applyFont="1" applyFill="1" applyBorder="1" applyProtection="1">
      <protection locked="0"/>
    </xf>
    <xf numFmtId="0" fontId="16" fillId="27" borderId="0" xfId="75" applyFont="1" applyFill="1" applyAlignment="1" applyProtection="1">
      <alignment horizontal="justify" vertical="center" wrapText="1"/>
    </xf>
    <xf numFmtId="0" fontId="71" fillId="27" borderId="0" xfId="75" applyFont="1" applyFill="1" applyAlignment="1" applyProtection="1">
      <alignment horizontal="justify" wrapText="1"/>
    </xf>
    <xf numFmtId="0" fontId="16" fillId="27" borderId="0" xfId="75" applyFont="1" applyFill="1" applyAlignment="1" applyProtection="1">
      <alignment horizontal="justify" wrapText="1"/>
    </xf>
    <xf numFmtId="0" fontId="71" fillId="27" borderId="0" xfId="75" applyFont="1" applyFill="1" applyAlignment="1" applyProtection="1">
      <alignment horizontal="justify" vertical="center" wrapText="1"/>
    </xf>
    <xf numFmtId="0" fontId="22" fillId="27" borderId="0" xfId="74" applyNumberFormat="1" applyFont="1" applyFill="1" applyAlignment="1" applyProtection="1">
      <alignment wrapText="1"/>
    </xf>
    <xf numFmtId="0" fontId="0" fillId="0" borderId="0" xfId="0" applyAlignment="1" applyProtection="1">
      <alignment wrapText="1"/>
    </xf>
    <xf numFmtId="0" fontId="71" fillId="27" borderId="0" xfId="75" applyFont="1" applyFill="1" applyAlignment="1" applyProtection="1">
      <alignment horizontal="left" vertical="center" wrapText="1"/>
    </xf>
    <xf numFmtId="0" fontId="4" fillId="27" borderId="0" xfId="74" applyFont="1" applyFill="1" applyAlignment="1" applyProtection="1">
      <alignment horizontal="left" vertical="top" wrapText="1"/>
    </xf>
    <xf numFmtId="0" fontId="62" fillId="27" borderId="0" xfId="75" applyFont="1" applyFill="1" applyAlignment="1" applyProtection="1">
      <alignment horizontal="justify" wrapText="1"/>
    </xf>
    <xf numFmtId="0" fontId="53" fillId="27" borderId="0" xfId="75" applyFont="1" applyFill="1" applyBorder="1" applyAlignment="1" applyProtection="1">
      <alignment horizontal="left" wrapText="1"/>
    </xf>
    <xf numFmtId="0" fontId="0" fillId="0" borderId="0" xfId="0" applyAlignment="1"/>
    <xf numFmtId="168" fontId="14" fillId="27" borderId="0" xfId="0" applyNumberFormat="1" applyFont="1" applyFill="1" applyBorder="1" applyAlignment="1" applyProtection="1"/>
    <xf numFmtId="0" fontId="0" fillId="27" borderId="0" xfId="0" applyFill="1" applyBorder="1" applyAlignment="1" applyProtection="1"/>
    <xf numFmtId="168" fontId="4" fillId="27" borderId="13" xfId="0" applyNumberFormat="1" applyFont="1" applyFill="1" applyBorder="1" applyAlignment="1" applyProtection="1">
      <alignment horizontal="right"/>
    </xf>
    <xf numFmtId="0" fontId="13" fillId="24" borderId="21" xfId="75" applyFont="1" applyFill="1" applyBorder="1" applyAlignment="1" applyProtection="1">
      <alignment horizontal="left" wrapText="1"/>
    </xf>
    <xf numFmtId="0" fontId="13" fillId="24" borderId="20" xfId="75" applyFont="1" applyFill="1" applyBorder="1" applyAlignment="1" applyProtection="1">
      <alignment horizontal="left" wrapText="1"/>
    </xf>
    <xf numFmtId="0" fontId="64" fillId="27" borderId="0" xfId="75" applyFont="1" applyFill="1" applyBorder="1" applyAlignment="1" applyProtection="1">
      <alignment horizontal="right" vertical="center" wrapText="1"/>
    </xf>
    <xf numFmtId="0" fontId="0" fillId="0" borderId="0" xfId="0" applyAlignment="1">
      <alignment wrapText="1"/>
    </xf>
    <xf numFmtId="0" fontId="13" fillId="24" borderId="21" xfId="75" applyFont="1" applyFill="1" applyBorder="1" applyAlignment="1" applyProtection="1">
      <alignment horizontal="left"/>
    </xf>
    <xf numFmtId="0" fontId="13" fillId="24" borderId="20" xfId="75" applyFont="1" applyFill="1" applyBorder="1" applyAlignment="1" applyProtection="1">
      <alignment horizontal="left"/>
    </xf>
    <xf numFmtId="0" fontId="48" fillId="24" borderId="18" xfId="75" applyFont="1" applyFill="1" applyBorder="1" applyAlignment="1" applyProtection="1">
      <alignment horizontal="left" wrapText="1"/>
    </xf>
    <xf numFmtId="0" fontId="43" fillId="24" borderId="15" xfId="0" applyFont="1" applyFill="1" applyBorder="1" applyAlignment="1" applyProtection="1">
      <alignment horizontal="left" wrapText="1"/>
    </xf>
    <xf numFmtId="0" fontId="13" fillId="27" borderId="0" xfId="75" applyFont="1" applyFill="1" applyBorder="1" applyAlignment="1" applyProtection="1">
      <alignment horizontal="left" wrapText="1"/>
    </xf>
    <xf numFmtId="0" fontId="4" fillId="27" borderId="0" xfId="0" applyFont="1" applyFill="1" applyBorder="1" applyAlignment="1" applyProtection="1">
      <alignment wrapText="1"/>
    </xf>
    <xf numFmtId="0" fontId="0" fillId="27" borderId="0" xfId="0" applyFill="1" applyBorder="1" applyAlignment="1"/>
    <xf numFmtId="0" fontId="13" fillId="24" borderId="44" xfId="75" applyFont="1" applyFill="1" applyBorder="1" applyAlignment="1" applyProtection="1">
      <alignment wrapText="1"/>
    </xf>
    <xf numFmtId="0" fontId="0" fillId="0" borderId="32" xfId="0" applyBorder="1" applyAlignment="1" applyProtection="1">
      <alignment wrapText="1"/>
    </xf>
    <xf numFmtId="0" fontId="0" fillId="0" borderId="114" xfId="0" applyBorder="1" applyAlignment="1" applyProtection="1">
      <alignment wrapText="1"/>
    </xf>
    <xf numFmtId="0" fontId="4" fillId="24" borderId="115" xfId="0" applyFont="1" applyFill="1" applyBorder="1" applyAlignment="1" applyProtection="1">
      <alignment horizontal="center" textRotation="90"/>
    </xf>
    <xf numFmtId="0" fontId="0" fillId="24" borderId="115" xfId="0" applyFill="1" applyBorder="1" applyAlignment="1" applyProtection="1"/>
    <xf numFmtId="0" fontId="0" fillId="24" borderId="70" xfId="0" applyFill="1" applyBorder="1" applyAlignment="1" applyProtection="1"/>
    <xf numFmtId="0" fontId="6" fillId="24" borderId="19" xfId="0" applyFont="1" applyFill="1" applyBorder="1" applyAlignment="1" applyProtection="1">
      <alignment horizontal="center" wrapText="1"/>
    </xf>
    <xf numFmtId="0" fontId="0" fillId="24" borderId="19" xfId="0" applyFill="1" applyBorder="1" applyAlignment="1" applyProtection="1">
      <alignment wrapText="1"/>
    </xf>
    <xf numFmtId="0" fontId="0" fillId="24" borderId="15" xfId="0" applyFill="1" applyBorder="1" applyAlignment="1" applyProtection="1">
      <alignment wrapText="1"/>
    </xf>
    <xf numFmtId="0" fontId="4" fillId="24" borderId="19" xfId="0" applyFont="1" applyFill="1" applyBorder="1" applyAlignment="1" applyProtection="1">
      <alignment horizontal="center" textRotation="90"/>
    </xf>
    <xf numFmtId="0" fontId="0" fillId="24" borderId="19" xfId="0" applyFill="1" applyBorder="1" applyAlignment="1" applyProtection="1"/>
    <xf numFmtId="0" fontId="0" fillId="24" borderId="15" xfId="0" applyFill="1" applyBorder="1" applyAlignment="1" applyProtection="1"/>
    <xf numFmtId="0" fontId="13" fillId="24" borderId="17" xfId="75" applyFont="1" applyFill="1" applyBorder="1" applyAlignment="1" applyProtection="1">
      <alignment wrapText="1"/>
    </xf>
    <xf numFmtId="0" fontId="0" fillId="0" borderId="64" xfId="0" applyBorder="1" applyAlignment="1"/>
    <xf numFmtId="0" fontId="0" fillId="0" borderId="65" xfId="0" applyBorder="1" applyAlignment="1"/>
    <xf numFmtId="0" fontId="6" fillId="24" borderId="110" xfId="0" applyFont="1" applyFill="1" applyBorder="1" applyAlignment="1" applyProtection="1">
      <alignment horizontal="center" wrapText="1"/>
    </xf>
    <xf numFmtId="0" fontId="0" fillId="24" borderId="110" xfId="0" applyFill="1" applyBorder="1" applyAlignment="1" applyProtection="1">
      <alignment wrapText="1"/>
    </xf>
    <xf numFmtId="0" fontId="0" fillId="24" borderId="93" xfId="0" applyFill="1" applyBorder="1" applyAlignment="1" applyProtection="1">
      <alignment wrapText="1"/>
    </xf>
    <xf numFmtId="168" fontId="52" fillId="24" borderId="94" xfId="0" applyNumberFormat="1" applyFont="1" applyFill="1" applyBorder="1" applyAlignment="1" applyProtection="1">
      <alignment horizontal="right" wrapText="1"/>
    </xf>
    <xf numFmtId="0" fontId="0" fillId="24" borderId="65" xfId="0" applyFill="1" applyBorder="1" applyAlignment="1" applyProtection="1">
      <alignment wrapText="1"/>
    </xf>
    <xf numFmtId="0" fontId="0" fillId="24" borderId="91" xfId="0" applyFill="1" applyBorder="1" applyAlignment="1" applyProtection="1">
      <alignment wrapText="1"/>
    </xf>
    <xf numFmtId="0" fontId="0" fillId="24" borderId="66" xfId="0" applyFill="1" applyBorder="1" applyAlignment="1" applyProtection="1">
      <alignment wrapText="1"/>
    </xf>
    <xf numFmtId="178" fontId="55" fillId="24" borderId="92" xfId="0" applyNumberFormat="1" applyFont="1" applyFill="1" applyBorder="1" applyAlignment="1" applyProtection="1">
      <alignment horizontal="center"/>
    </xf>
    <xf numFmtId="0" fontId="0" fillId="24" borderId="111" xfId="0" applyFill="1" applyBorder="1" applyAlignment="1" applyProtection="1">
      <alignment horizontal="center"/>
    </xf>
    <xf numFmtId="0" fontId="13" fillId="24" borderId="101" xfId="75" applyFont="1" applyFill="1" applyBorder="1" applyAlignment="1" applyProtection="1">
      <alignment wrapText="1"/>
    </xf>
    <xf numFmtId="0" fontId="0" fillId="0" borderId="102" xfId="0" applyBorder="1" applyAlignment="1" applyProtection="1">
      <alignment wrapText="1"/>
    </xf>
    <xf numFmtId="0" fontId="0" fillId="0" borderId="103" xfId="0" applyBorder="1" applyAlignment="1" applyProtection="1">
      <alignment wrapText="1"/>
    </xf>
    <xf numFmtId="0" fontId="4" fillId="24" borderId="112" xfId="0" applyFont="1" applyFill="1" applyBorder="1" applyAlignment="1" applyProtection="1">
      <alignment horizontal="center" textRotation="90"/>
    </xf>
    <xf numFmtId="0" fontId="0" fillId="24" borderId="112" xfId="0" applyFill="1" applyBorder="1" applyAlignment="1" applyProtection="1"/>
    <xf numFmtId="0" fontId="0" fillId="24" borderId="96" xfId="0" applyFill="1" applyBorder="1" applyAlignment="1" applyProtection="1"/>
    <xf numFmtId="0" fontId="16" fillId="27" borderId="0" xfId="75" applyFont="1" applyFill="1" applyAlignment="1" applyProtection="1">
      <alignment horizontal="left" wrapText="1"/>
    </xf>
    <xf numFmtId="0" fontId="4" fillId="27" borderId="0" xfId="75" applyFont="1" applyFill="1" applyAlignment="1" applyProtection="1">
      <alignment wrapText="1"/>
    </xf>
    <xf numFmtId="0" fontId="0" fillId="27" borderId="0" xfId="0" applyFill="1" applyAlignment="1" applyProtection="1">
      <alignment wrapText="1"/>
    </xf>
    <xf numFmtId="0" fontId="4" fillId="27" borderId="0" xfId="75" applyFont="1" applyFill="1" applyAlignment="1" applyProtection="1">
      <alignment horizontal="left" vertical="top" wrapText="1"/>
    </xf>
    <xf numFmtId="0" fontId="4" fillId="0" borderId="0" xfId="74" applyAlignment="1">
      <alignment wrapText="1"/>
    </xf>
    <xf numFmtId="0" fontId="13" fillId="24" borderId="17" xfId="75" applyFont="1" applyFill="1" applyBorder="1" applyAlignment="1" applyProtection="1">
      <alignment horizontal="left"/>
    </xf>
    <xf numFmtId="0" fontId="13" fillId="24" borderId="65" xfId="75" applyFont="1" applyFill="1" applyBorder="1" applyAlignment="1" applyProtection="1">
      <alignment horizontal="left"/>
    </xf>
    <xf numFmtId="0" fontId="2" fillId="27" borderId="0" xfId="75" applyFont="1" applyFill="1" applyAlignment="1" applyProtection="1"/>
    <xf numFmtId="0" fontId="4" fillId="24" borderId="17" xfId="0" applyFont="1" applyFill="1" applyBorder="1" applyAlignment="1" applyProtection="1">
      <alignment horizontal="left" wrapText="1"/>
    </xf>
    <xf numFmtId="0" fontId="4" fillId="24" borderId="64" xfId="0" applyFont="1" applyFill="1" applyBorder="1" applyAlignment="1" applyProtection="1">
      <alignment horizontal="left" wrapText="1"/>
    </xf>
    <xf numFmtId="0" fontId="4" fillId="24" borderId="66" xfId="0" applyFont="1" applyFill="1" applyBorder="1" applyAlignment="1" applyProtection="1">
      <alignment horizontal="left" wrapText="1"/>
    </xf>
    <xf numFmtId="0" fontId="4" fillId="24" borderId="14" xfId="0" applyFont="1" applyFill="1" applyBorder="1" applyAlignment="1" applyProtection="1">
      <alignment horizontal="left" wrapText="1"/>
    </xf>
    <xf numFmtId="0" fontId="4" fillId="24" borderId="95" xfId="0" applyFont="1" applyFill="1" applyBorder="1" applyAlignment="1" applyProtection="1">
      <alignment horizontal="left" wrapText="1"/>
    </xf>
    <xf numFmtId="0" fontId="4" fillId="24" borderId="16" xfId="0" applyFont="1" applyFill="1" applyBorder="1" applyAlignment="1" applyProtection="1">
      <alignment horizontal="left" wrapText="1"/>
    </xf>
    <xf numFmtId="0" fontId="2" fillId="27" borderId="18" xfId="0" applyFont="1" applyFill="1" applyBorder="1" applyAlignment="1" applyProtection="1">
      <alignment horizontal="left" wrapText="1"/>
    </xf>
    <xf numFmtId="0" fontId="2" fillId="27" borderId="19" xfId="0" applyFont="1" applyFill="1" applyBorder="1" applyAlignment="1" applyProtection="1">
      <alignment horizontal="left" wrapText="1"/>
    </xf>
    <xf numFmtId="0" fontId="2" fillId="27" borderId="15" xfId="0" applyFont="1" applyFill="1" applyBorder="1" applyAlignment="1" applyProtection="1">
      <alignment horizontal="left" wrapText="1"/>
    </xf>
    <xf numFmtId="0" fontId="47" fillId="27" borderId="19" xfId="75" applyFont="1" applyFill="1" applyBorder="1" applyAlignment="1" applyProtection="1">
      <alignment horizontal="center" wrapText="1"/>
    </xf>
    <xf numFmtId="0" fontId="4" fillId="27" borderId="0" xfId="75" applyFill="1" applyAlignment="1" applyProtection="1">
      <alignment horizontal="left" wrapText="1"/>
    </xf>
    <xf numFmtId="0" fontId="4" fillId="0" borderId="64" xfId="78" applyFont="1" applyBorder="1" applyAlignment="1" applyProtection="1">
      <alignment horizontal="right" vertical="top" wrapText="1"/>
    </xf>
    <xf numFmtId="0" fontId="4" fillId="0" borderId="0" xfId="78" applyFont="1" applyBorder="1" applyAlignment="1" applyProtection="1">
      <alignment horizontal="right" vertical="top" wrapText="1"/>
    </xf>
    <xf numFmtId="0" fontId="6" fillId="27" borderId="17" xfId="0" applyFont="1" applyFill="1" applyBorder="1" applyAlignment="1" applyProtection="1">
      <alignment horizontal="center" vertical="center" wrapText="1"/>
    </xf>
    <xf numFmtId="0" fontId="6" fillId="27" borderId="64" xfId="0" applyFont="1" applyFill="1" applyBorder="1" applyAlignment="1" applyProtection="1">
      <alignment horizontal="center" vertical="center" wrapText="1"/>
    </xf>
    <xf numFmtId="0" fontId="6" fillId="27" borderId="65" xfId="0" applyFont="1" applyFill="1" applyBorder="1" applyAlignment="1" applyProtection="1">
      <alignment horizontal="center" vertical="center" wrapText="1"/>
    </xf>
    <xf numFmtId="0" fontId="6" fillId="27" borderId="14" xfId="0" applyFont="1" applyFill="1" applyBorder="1" applyAlignment="1" applyProtection="1">
      <alignment horizontal="center" vertical="center" wrapText="1"/>
    </xf>
    <xf numFmtId="0" fontId="6" fillId="27" borderId="95" xfId="0" applyFont="1" applyFill="1" applyBorder="1" applyAlignment="1" applyProtection="1">
      <alignment horizontal="center" vertical="center" wrapText="1"/>
    </xf>
    <xf numFmtId="0" fontId="6" fillId="27" borderId="16" xfId="0" applyFont="1" applyFill="1" applyBorder="1" applyAlignment="1" applyProtection="1">
      <alignment horizontal="center" vertical="center" wrapText="1"/>
    </xf>
    <xf numFmtId="0" fontId="53" fillId="27" borderId="18" xfId="0" applyFont="1" applyFill="1" applyBorder="1" applyAlignment="1" applyProtection="1">
      <alignment horizontal="left" vertical="center" wrapText="1"/>
    </xf>
    <xf numFmtId="0" fontId="53" fillId="27" borderId="15" xfId="0" applyFont="1" applyFill="1" applyBorder="1" applyAlignment="1" applyProtection="1">
      <alignment horizontal="left" vertical="center" wrapText="1"/>
    </xf>
    <xf numFmtId="0" fontId="4" fillId="24" borderId="19" xfId="0" applyFont="1" applyFill="1" applyBorder="1" applyAlignment="1" applyProtection="1">
      <alignment horizontal="center" wrapText="1"/>
    </xf>
    <xf numFmtId="0" fontId="6" fillId="24" borderId="119" xfId="0" applyFont="1" applyFill="1" applyBorder="1" applyAlignment="1" applyProtection="1">
      <alignment horizontal="center" wrapText="1"/>
    </xf>
    <xf numFmtId="0" fontId="0" fillId="24" borderId="119" xfId="0" applyFill="1" applyBorder="1" applyAlignment="1" applyProtection="1">
      <alignment wrapText="1"/>
    </xf>
    <xf numFmtId="0" fontId="0" fillId="24" borderId="120" xfId="0" applyFill="1" applyBorder="1" applyAlignment="1" applyProtection="1">
      <alignment wrapText="1"/>
    </xf>
    <xf numFmtId="168" fontId="52" fillId="27" borderId="17" xfId="0" applyNumberFormat="1" applyFont="1" applyFill="1" applyBorder="1" applyAlignment="1" applyProtection="1">
      <alignment horizontal="right" wrapText="1"/>
    </xf>
    <xf numFmtId="0" fontId="0" fillId="0" borderId="65" xfId="0" applyBorder="1" applyAlignment="1">
      <alignment wrapText="1"/>
    </xf>
    <xf numFmtId="0" fontId="0" fillId="0" borderId="13" xfId="0" applyBorder="1" applyAlignment="1">
      <alignment wrapText="1"/>
    </xf>
    <xf numFmtId="0" fontId="0" fillId="0" borderId="66" xfId="0" applyBorder="1" applyAlignment="1">
      <alignment wrapText="1"/>
    </xf>
    <xf numFmtId="178" fontId="55" fillId="27" borderId="18" xfId="0" applyNumberFormat="1" applyFont="1" applyFill="1" applyBorder="1" applyAlignment="1" applyProtection="1">
      <alignment horizontal="center"/>
    </xf>
    <xf numFmtId="0" fontId="0" fillId="0" borderId="113" xfId="0" applyBorder="1" applyAlignment="1">
      <alignment horizontal="center"/>
    </xf>
    <xf numFmtId="168" fontId="52" fillId="24" borderId="116" xfId="0" applyNumberFormat="1" applyFont="1" applyFill="1" applyBorder="1" applyAlignment="1" applyProtection="1">
      <alignment horizontal="right" wrapText="1"/>
    </xf>
    <xf numFmtId="0" fontId="0" fillId="24" borderId="42" xfId="0" applyFill="1" applyBorder="1" applyAlignment="1" applyProtection="1">
      <alignment wrapText="1"/>
    </xf>
    <xf numFmtId="178" fontId="55" fillId="24" borderId="117" xfId="0" applyNumberFormat="1" applyFont="1" applyFill="1" applyBorder="1" applyAlignment="1" applyProtection="1">
      <alignment horizontal="center"/>
    </xf>
    <xf numFmtId="0" fontId="0" fillId="24" borderId="118" xfId="0" applyFill="1" applyBorder="1" applyAlignment="1" applyProtection="1">
      <alignment horizontal="center"/>
    </xf>
    <xf numFmtId="0" fontId="13" fillId="24" borderId="14" xfId="75" applyFont="1" applyFill="1" applyBorder="1" applyAlignment="1" applyProtection="1">
      <alignment horizontal="left"/>
    </xf>
    <xf numFmtId="0" fontId="13" fillId="24" borderId="16" xfId="75" applyFont="1" applyFill="1" applyBorder="1" applyAlignment="1" applyProtection="1">
      <alignment horizontal="left"/>
    </xf>
    <xf numFmtId="0" fontId="74" fillId="0" borderId="0" xfId="90" applyFont="1" applyAlignment="1" applyProtection="1">
      <alignment horizontal="left" vertical="center" wrapText="1" readingOrder="1"/>
    </xf>
    <xf numFmtId="0" fontId="78" fillId="27" borderId="0" xfId="75" applyFont="1" applyFill="1" applyAlignment="1" applyProtection="1">
      <alignment horizontal="left" wrapText="1"/>
    </xf>
    <xf numFmtId="0" fontId="16" fillId="31" borderId="0" xfId="75" applyFont="1" applyFill="1" applyAlignment="1" applyProtection="1">
      <alignment horizontal="left" wrapText="1"/>
    </xf>
    <xf numFmtId="0" fontId="2" fillId="33" borderId="128" xfId="75" applyFont="1" applyFill="1" applyBorder="1" applyAlignment="1" applyProtection="1">
      <alignment horizontal="left" wrapText="1"/>
    </xf>
    <xf numFmtId="0" fontId="2" fillId="33" borderId="129" xfId="75" applyFont="1" applyFill="1" applyBorder="1" applyAlignment="1" applyProtection="1">
      <alignment horizontal="left" wrapText="1"/>
    </xf>
    <xf numFmtId="0" fontId="2" fillId="33" borderId="130" xfId="75" applyFont="1" applyFill="1" applyBorder="1" applyAlignment="1" applyProtection="1">
      <alignment horizontal="left" wrapText="1"/>
    </xf>
    <xf numFmtId="0" fontId="2" fillId="33" borderId="136" xfId="75" applyFont="1" applyFill="1" applyBorder="1" applyAlignment="1" applyProtection="1">
      <alignment horizontal="left" wrapText="1"/>
    </xf>
    <xf numFmtId="0" fontId="2" fillId="33" borderId="137" xfId="75" applyFont="1" applyFill="1" applyBorder="1" applyAlignment="1" applyProtection="1">
      <alignment horizontal="left" wrapText="1"/>
    </xf>
    <xf numFmtId="0" fontId="2" fillId="33" borderId="138" xfId="75" applyFont="1" applyFill="1" applyBorder="1" applyAlignment="1" applyProtection="1">
      <alignment horizontal="left" wrapText="1"/>
    </xf>
    <xf numFmtId="0" fontId="20" fillId="26" borderId="44" xfId="76" applyFont="1" applyFill="1" applyBorder="1" applyAlignment="1">
      <alignment horizontal="center" vertical="center" textRotation="90" wrapText="1"/>
    </xf>
    <xf numFmtId="0" fontId="20" fillId="26" borderId="42" xfId="76" applyFont="1" applyFill="1" applyBorder="1" applyAlignment="1">
      <alignment horizontal="center" vertical="center" textRotation="90" wrapText="1"/>
    </xf>
    <xf numFmtId="0" fontId="20" fillId="26" borderId="61" xfId="76" applyFont="1" applyFill="1" applyBorder="1" applyAlignment="1">
      <alignment horizontal="center" vertical="center" textRotation="90" wrapText="1"/>
    </xf>
    <xf numFmtId="0" fontId="2" fillId="27" borderId="42" xfId="76" applyFont="1" applyFill="1" applyBorder="1" applyAlignment="1">
      <alignment horizontal="center" wrapText="1"/>
    </xf>
    <xf numFmtId="0" fontId="2" fillId="27" borderId="0" xfId="76" applyFont="1" applyFill="1" applyBorder="1" applyAlignment="1">
      <alignment horizontal="center" wrapText="1"/>
    </xf>
    <xf numFmtId="0" fontId="2" fillId="27" borderId="83" xfId="76" applyFont="1" applyFill="1" applyBorder="1" applyAlignment="1">
      <alignment horizontal="right" vertical="center" wrapText="1"/>
    </xf>
    <xf numFmtId="0" fontId="2" fillId="27" borderId="28" xfId="76" applyFont="1" applyFill="1" applyBorder="1" applyAlignment="1">
      <alignment horizontal="right" vertical="center" wrapText="1"/>
    </xf>
    <xf numFmtId="0" fontId="2" fillId="27" borderId="121" xfId="76" applyFont="1" applyFill="1" applyBorder="1" applyAlignment="1">
      <alignment horizontal="right" vertical="center" wrapText="1"/>
    </xf>
    <xf numFmtId="0" fontId="20" fillId="25" borderId="44" xfId="76" applyFont="1" applyFill="1" applyBorder="1" applyAlignment="1">
      <alignment horizontal="center" vertical="center" textRotation="90" wrapText="1"/>
    </xf>
    <xf numFmtId="0" fontId="20" fillId="25" borderId="42" xfId="76" applyFont="1" applyFill="1" applyBorder="1" applyAlignment="1">
      <alignment horizontal="center" vertical="center" textRotation="90" wrapText="1"/>
    </xf>
    <xf numFmtId="0" fontId="20" fillId="25" borderId="61" xfId="76" applyFont="1" applyFill="1" applyBorder="1" applyAlignment="1">
      <alignment horizontal="center" vertical="center" textRotation="90" wrapText="1"/>
    </xf>
    <xf numFmtId="0" fontId="20" fillId="27" borderId="44" xfId="76" applyFont="1" applyFill="1" applyBorder="1" applyAlignment="1">
      <alignment horizontal="center" vertical="center" textRotation="90" wrapText="1"/>
    </xf>
    <xf numFmtId="0" fontId="20" fillId="27" borderId="42" xfId="76" applyFont="1" applyFill="1" applyBorder="1" applyAlignment="1">
      <alignment horizontal="center" vertical="center" textRotation="90" wrapText="1"/>
    </xf>
    <xf numFmtId="0" fontId="20" fillId="27" borderId="61" xfId="76" applyFont="1" applyFill="1" applyBorder="1" applyAlignment="1">
      <alignment horizontal="center" vertical="center" textRotation="90" wrapText="1"/>
    </xf>
    <xf numFmtId="0" fontId="18" fillId="25" borderId="122" xfId="77" applyFont="1" applyFill="1" applyBorder="1" applyAlignment="1">
      <alignment horizontal="center" vertical="center" wrapText="1"/>
    </xf>
    <xf numFmtId="0" fontId="18" fillId="25" borderId="123" xfId="77" applyFont="1" applyFill="1" applyBorder="1" applyAlignment="1">
      <alignment horizontal="center" vertical="center" wrapText="1"/>
    </xf>
    <xf numFmtId="0" fontId="2" fillId="25" borderId="124" xfId="77" applyFont="1" applyFill="1" applyBorder="1" applyAlignment="1">
      <alignment horizontal="center" vertical="center" wrapText="1"/>
    </xf>
    <xf numFmtId="0" fontId="2" fillId="25" borderId="51" xfId="77" applyFont="1" applyFill="1" applyBorder="1" applyAlignment="1">
      <alignment horizontal="center" vertical="center" wrapText="1"/>
    </xf>
    <xf numFmtId="0" fontId="2" fillId="27" borderId="37" xfId="76" applyFont="1" applyFill="1" applyBorder="1" applyAlignment="1">
      <alignment horizontal="right" vertical="center" wrapText="1"/>
    </xf>
    <xf numFmtId="0" fontId="18" fillId="25" borderId="125" xfId="77" applyFont="1" applyFill="1" applyBorder="1" applyAlignment="1">
      <alignment horizontal="center" vertical="center" wrapText="1"/>
    </xf>
    <xf numFmtId="0" fontId="18" fillId="25" borderId="126" xfId="77" applyFont="1" applyFill="1" applyBorder="1" applyAlignment="1">
      <alignment horizontal="center" vertical="center" wrapText="1"/>
    </xf>
    <xf numFmtId="0" fontId="2" fillId="25" borderId="127" xfId="77" applyFont="1" applyFill="1" applyBorder="1" applyAlignment="1">
      <alignment horizontal="center" vertical="center" wrapText="1"/>
    </xf>
    <xf numFmtId="0" fontId="2" fillId="25" borderId="55" xfId="77" applyFont="1" applyFill="1" applyBorder="1" applyAlignment="1">
      <alignment horizontal="center" vertical="center" wrapText="1"/>
    </xf>
    <xf numFmtId="0" fontId="0" fillId="0" borderId="0" xfId="0"/>
  </cellXfs>
  <cellStyles count="91">
    <cellStyle name="20% - Accent1" xfId="1"/>
    <cellStyle name="20% - Accent2" xfId="2"/>
    <cellStyle name="20% - Accent3" xfId="3"/>
    <cellStyle name="20% - Accent4" xfId="4"/>
    <cellStyle name="20% - Accent5" xfId="5"/>
    <cellStyle name="20% - Accent6" xfId="6"/>
    <cellStyle name="20% - Akzent1" xfId="7"/>
    <cellStyle name="20% - Akzent2" xfId="8"/>
    <cellStyle name="20% - Akzent3" xfId="9"/>
    <cellStyle name="20% - Akzent4" xfId="10"/>
    <cellStyle name="20% - Akzent5" xfId="11"/>
    <cellStyle name="20% - Akzent6" xfId="12"/>
    <cellStyle name="40% - Accent1" xfId="13"/>
    <cellStyle name="40% - Accent2" xfId="14"/>
    <cellStyle name="40% - Accent3" xfId="15"/>
    <cellStyle name="40% - Accent4" xfId="16"/>
    <cellStyle name="40% - Accent5" xfId="17"/>
    <cellStyle name="40% - Accent6" xfId="18"/>
    <cellStyle name="40% - Akzent1" xfId="19"/>
    <cellStyle name="40% - Akzent2" xfId="20"/>
    <cellStyle name="40% - Akzent3" xfId="21"/>
    <cellStyle name="40% - Akzent4" xfId="22"/>
    <cellStyle name="40% - Akzent5" xfId="23"/>
    <cellStyle name="40% - Akzent6" xfId="24"/>
    <cellStyle name="60% - Accent1" xfId="25"/>
    <cellStyle name="60% - Accent2" xfId="26"/>
    <cellStyle name="60% - Accent3" xfId="27"/>
    <cellStyle name="60% - Accent4" xfId="28"/>
    <cellStyle name="60% - Accent5" xfId="29"/>
    <cellStyle name="60% - Accent6" xfId="30"/>
    <cellStyle name="60% - Akzent1" xfId="31"/>
    <cellStyle name="60% - Akzent2" xfId="32"/>
    <cellStyle name="60% - Akzent3" xfId="33"/>
    <cellStyle name="60% - Akzent4" xfId="34"/>
    <cellStyle name="60% - Akzent5" xfId="35"/>
    <cellStyle name="60% - Akzent6" xfId="36"/>
    <cellStyle name="Accent1" xfId="37"/>
    <cellStyle name="Accent2" xfId="38"/>
    <cellStyle name="Accent3" xfId="39"/>
    <cellStyle name="Accent4" xfId="40"/>
    <cellStyle name="Accent5" xfId="41"/>
    <cellStyle name="Accent6" xfId="42"/>
    <cellStyle name="Akzent1" xfId="43" builtinId="29" customBuiltin="1"/>
    <cellStyle name="Akzent2" xfId="44" builtinId="33" customBuiltin="1"/>
    <cellStyle name="Akzent3" xfId="45" builtinId="37" customBuiltin="1"/>
    <cellStyle name="Akzent4" xfId="46" builtinId="41" customBuiltin="1"/>
    <cellStyle name="Akzent5" xfId="47" builtinId="45" customBuiltin="1"/>
    <cellStyle name="Akzent6" xfId="48" builtinId="49" customBuiltin="1"/>
    <cellStyle name="Ausgabe" xfId="49" builtinId="21" customBuiltin="1"/>
    <cellStyle name="Bad" xfId="50"/>
    <cellStyle name="Berechnung" xfId="51" builtinId="22" customBuiltin="1"/>
    <cellStyle name="Calculation" xfId="52"/>
    <cellStyle name="Check Cell" xfId="53"/>
    <cellStyle name="Eingabe" xfId="55" builtinId="20" customBuiltin="1"/>
    <cellStyle name="Ergebnis" xfId="56" builtinId="25" customBuiltin="1"/>
    <cellStyle name="Erklärender Text" xfId="57" builtinId="53" customBuiltin="1"/>
    <cellStyle name="Explanatory Text" xfId="58"/>
    <cellStyle name="Good" xfId="59"/>
    <cellStyle name="Gut" xfId="60" builtinId="26" customBuiltin="1"/>
    <cellStyle name="Heading 1" xfId="61"/>
    <cellStyle name="Heading 2" xfId="62"/>
    <cellStyle name="Heading 3" xfId="63"/>
    <cellStyle name="Heading 4" xfId="64"/>
    <cellStyle name="Input" xfId="66"/>
    <cellStyle name="Komma" xfId="54" builtinId="3"/>
    <cellStyle name="Link" xfId="65" builtinId="8"/>
    <cellStyle name="Linked Cell" xfId="67"/>
    <cellStyle name="Neutral" xfId="68" builtinId="28" customBuiltin="1"/>
    <cellStyle name="Note" xfId="69"/>
    <cellStyle name="Notiz" xfId="70" builtinId="10" customBuiltin="1"/>
    <cellStyle name="Output" xfId="71"/>
    <cellStyle name="Prozent" xfId="72" builtinId="5"/>
    <cellStyle name="Schlecht" xfId="73" builtinId="27" customBuiltin="1"/>
    <cellStyle name="Standard" xfId="0" builtinId="0"/>
    <cellStyle name="Standard 2" xfId="90"/>
    <cellStyle name="Standard_Kopie(ZL)_2010_07_21_Bonitool" xfId="74"/>
    <cellStyle name="Standard_Laufzeit_test" xfId="75"/>
    <cellStyle name="Standard_Premium Rate-Presentation 12.06.09" xfId="76"/>
    <cellStyle name="Standard_prm-069-mpr-calculator-chair-compromise-proposal (corrected)" xfId="77"/>
    <cellStyle name="Standard_Rechentool_DUW_V3.0" xfId="78"/>
    <cellStyle name="Title" xfId="79"/>
    <cellStyle name="Total" xfId="80"/>
    <cellStyle name="Überschrift" xfId="81" builtinId="15" customBuiltin="1"/>
    <cellStyle name="Überschrift 1" xfId="82" builtinId="16" customBuiltin="1"/>
    <cellStyle name="Überschrift 2" xfId="83" builtinId="17" customBuiltin="1"/>
    <cellStyle name="Überschrift 3" xfId="84" builtinId="18" customBuiltin="1"/>
    <cellStyle name="Überschrift 4" xfId="85" builtinId="19" customBuiltin="1"/>
    <cellStyle name="Verknüpfte Zelle" xfId="86" builtinId="24" customBuiltin="1"/>
    <cellStyle name="Warnender Text" xfId="87" builtinId="11" customBuiltin="1"/>
    <cellStyle name="Warning Text" xfId="88"/>
    <cellStyle name="Zelle überprüfen" xfId="89" builtinId="23" customBuiltin="1"/>
  </cellStyles>
  <dxfs count="17">
    <dxf>
      <font>
        <b/>
        <i val="0"/>
        <condense val="0"/>
        <extend val="0"/>
      </font>
      <fill>
        <patternFill>
          <bgColor indexed="26"/>
        </patternFill>
      </fill>
    </dxf>
    <dxf>
      <font>
        <b/>
        <i val="0"/>
        <condense val="0"/>
        <extend val="0"/>
      </font>
    </dxf>
    <dxf>
      <font>
        <b/>
        <i val="0"/>
        <condense val="0"/>
        <extend val="0"/>
      </font>
      <fill>
        <patternFill>
          <bgColor indexed="26"/>
        </patternFill>
      </fill>
    </dxf>
    <dxf>
      <font>
        <b/>
        <i val="0"/>
        <condense val="0"/>
        <extend val="0"/>
      </font>
    </dxf>
    <dxf>
      <font>
        <condense val="0"/>
        <extend val="0"/>
        <color indexed="60"/>
      </font>
    </dxf>
    <dxf>
      <font>
        <b/>
        <i val="0"/>
        <condense val="0"/>
        <extend val="0"/>
      </font>
      <fill>
        <patternFill>
          <bgColor indexed="26"/>
        </patternFill>
      </fill>
    </dxf>
    <dxf>
      <font>
        <b/>
        <i val="0"/>
        <condense val="0"/>
        <extend val="0"/>
      </font>
      <fill>
        <patternFill>
          <bgColor indexed="26"/>
        </patternFill>
      </fill>
    </dxf>
    <dxf>
      <font>
        <b/>
        <i val="0"/>
        <condense val="0"/>
        <extend val="0"/>
      </font>
    </dxf>
    <dxf>
      <font>
        <b/>
        <i val="0"/>
        <condense val="0"/>
        <extend val="0"/>
      </font>
    </dxf>
    <dxf>
      <font>
        <b/>
        <i val="0"/>
        <condense val="0"/>
        <extend val="0"/>
      </font>
    </dxf>
    <dxf>
      <font>
        <b/>
        <i val="0"/>
        <condense val="0"/>
        <extend val="0"/>
      </font>
      <fill>
        <patternFill>
          <bgColor indexed="26"/>
        </patternFill>
      </fill>
    </dxf>
    <dxf>
      <font>
        <b/>
        <i val="0"/>
        <condense val="0"/>
        <extend val="0"/>
      </font>
      <fill>
        <patternFill>
          <bgColor indexed="26"/>
        </patternFill>
      </fill>
    </dxf>
    <dxf>
      <font>
        <b/>
        <i val="0"/>
        <condense val="0"/>
        <extend val="0"/>
      </font>
    </dxf>
    <dxf>
      <font>
        <b/>
        <i val="0"/>
        <condense val="0"/>
        <extend val="0"/>
      </font>
    </dxf>
    <dxf>
      <font>
        <b/>
        <i val="0"/>
        <condense val="0"/>
        <extend val="0"/>
        <color indexed="9"/>
      </font>
      <fill>
        <patternFill>
          <bgColor indexed="26"/>
        </patternFill>
      </fill>
    </dxf>
    <dxf>
      <font>
        <condense val="0"/>
        <extend val="0"/>
        <color indexed="9"/>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E8E7E4"/>
      <rgbColor rgb="000000FF"/>
      <rgbColor rgb="0000CCFF"/>
      <rgbColor rgb="00D0CEC6"/>
      <rgbColor rgb="001C2E48"/>
      <rgbColor rgb="00FFFF99"/>
      <rgbColor rgb="00A6A48F"/>
      <rgbColor rgb="00FF99CC"/>
      <rgbColor rgb="00B3CBDB"/>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Drop" dropStyle="combo" dx="20" fmlaLink="$K$27" fmlaRange="$J$28:$J$29" noThreeD="1" sel="1" val="0"/>
</file>

<file path=xl/ctrlProps/ctrlProp2.xml><?xml version="1.0" encoding="utf-8"?>
<formControlPr xmlns="http://schemas.microsoft.com/office/spreadsheetml/2009/9/main" objectType="Drop" dropStyle="combo" dx="20" fmlaLink="$O$27" fmlaRange="$O$28:$O$33" noThreeD="1" sel="1" val="0"/>
</file>

<file path=xl/ctrlProps/ctrlProp3.xml><?xml version="1.0" encoding="utf-8"?>
<formControlPr xmlns="http://schemas.microsoft.com/office/spreadsheetml/2009/9/main" objectType="CheckBox" fmlaLink="$K$52"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image" Target="../media/image3.jpeg"/><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7.jpeg"/><Relationship Id="rId4" Type="http://schemas.openxmlformats.org/officeDocument/2006/relationships/image" Target="../media/image8.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180975</xdr:colOff>
          <xdr:row>19</xdr:row>
          <xdr:rowOff>200025</xdr:rowOff>
        </xdr:from>
        <xdr:to>
          <xdr:col>24</xdr:col>
          <xdr:colOff>685800</xdr:colOff>
          <xdr:row>23</xdr:row>
          <xdr:rowOff>47625</xdr:rowOff>
        </xdr:to>
        <xdr:sp macro="" textlink="">
          <xdr:nvSpPr>
            <xdr:cNvPr id="13336" name="Object 24" hidden="1">
              <a:extLst>
                <a:ext uri="{63B3BB69-23CF-44E3-9099-C40C66FF867C}">
                  <a14:compatExt spid="_x0000_s13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266700</xdr:colOff>
      <xdr:row>17</xdr:row>
      <xdr:rowOff>144780</xdr:rowOff>
    </xdr:from>
    <xdr:to>
      <xdr:col>12</xdr:col>
      <xdr:colOff>609600</xdr:colOff>
      <xdr:row>22</xdr:row>
      <xdr:rowOff>0</xdr:rowOff>
    </xdr:to>
    <xdr:sp macro="" textlink="">
      <xdr:nvSpPr>
        <xdr:cNvPr id="13337" name="Text Box 25"/>
        <xdr:cNvSpPr txBox="1">
          <a:spLocks noChangeArrowheads="1"/>
        </xdr:cNvSpPr>
      </xdr:nvSpPr>
      <xdr:spPr bwMode="auto">
        <a:xfrm>
          <a:off x="7597140" y="3733800"/>
          <a:ext cx="0" cy="24765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endParaRPr lang="de-DE" sz="1100" b="0" i="0" u="none" strike="noStrike" baseline="0">
            <a:solidFill>
              <a:srgbClr val="000000"/>
            </a:solidFill>
            <a:latin typeface="Arial"/>
            <a:cs typeface="Arial"/>
          </a:endParaRPr>
        </a:p>
        <a:p>
          <a:pPr algn="l" rtl="0">
            <a:defRPr sz="1000"/>
          </a:pPr>
          <a:endParaRPr lang="de-DE" sz="1100" b="0" i="0" u="none" strike="noStrike" baseline="0">
            <a:solidFill>
              <a:srgbClr val="000000"/>
            </a:solidFill>
            <a:latin typeface="Arial"/>
            <a:cs typeface="Arial"/>
          </a:endParaRPr>
        </a:p>
        <a:p>
          <a:pPr algn="l" rtl="0">
            <a:defRPr sz="1000"/>
          </a:pPr>
          <a:endParaRPr lang="de-DE" sz="1100" b="0" i="0" u="none" strike="noStrike" baseline="0">
            <a:solidFill>
              <a:srgbClr val="000000"/>
            </a:solidFill>
            <a:latin typeface="Arial"/>
            <a:cs typeface="Arial"/>
          </a:endParaRPr>
        </a:p>
        <a:p>
          <a:pPr algn="l" rtl="0">
            <a:defRPr sz="1000"/>
          </a:pPr>
          <a:endParaRPr lang="de-DE" sz="1100" b="0" i="0" u="none" strike="noStrike" baseline="0">
            <a:solidFill>
              <a:srgbClr val="000000"/>
            </a:solidFill>
            <a:latin typeface="Arial"/>
            <a:cs typeface="Arial"/>
          </a:endParaRPr>
        </a:p>
        <a:p>
          <a:pPr algn="l" rtl="0">
            <a:defRPr sz="1000"/>
          </a:pPr>
          <a:r>
            <a:rPr lang="de-DE" sz="1300" b="0" i="0" u="none" strike="noStrike" baseline="0">
              <a:solidFill>
                <a:srgbClr val="000000"/>
              </a:solidFill>
              <a:latin typeface="Arial"/>
              <a:cs typeface="Arial"/>
            </a:rPr>
            <a:t>SK1</a:t>
          </a:r>
        </a:p>
        <a:p>
          <a:pPr algn="l" rtl="0">
            <a:defRPr sz="1000"/>
          </a:pPr>
          <a:r>
            <a:rPr lang="de-DE" sz="1300" b="0" i="0" u="none" strike="noStrike" baseline="0">
              <a:solidFill>
                <a:srgbClr val="000000"/>
              </a:solidFill>
              <a:latin typeface="Arial"/>
              <a:cs typeface="Arial"/>
            </a:rPr>
            <a:t>SK2</a:t>
          </a:r>
        </a:p>
        <a:p>
          <a:pPr algn="l" rtl="0">
            <a:defRPr sz="1000"/>
          </a:pPr>
          <a:r>
            <a:rPr lang="de-DE" sz="1300" b="0" i="0" u="none" strike="noStrike" baseline="0">
              <a:solidFill>
                <a:srgbClr val="000000"/>
              </a:solidFill>
              <a:latin typeface="Arial"/>
              <a:cs typeface="Arial"/>
            </a:rPr>
            <a:t>KK1  BK1</a:t>
          </a:r>
        </a:p>
        <a:p>
          <a:pPr algn="l" rtl="0">
            <a:defRPr sz="1000"/>
          </a:pPr>
          <a:r>
            <a:rPr lang="de-DE" sz="1300" b="0" i="0" u="none" strike="noStrike" baseline="0">
              <a:solidFill>
                <a:srgbClr val="000000"/>
              </a:solidFill>
              <a:latin typeface="Arial"/>
              <a:cs typeface="Arial"/>
            </a:rPr>
            <a:t>KK2  BK2</a:t>
          </a:r>
        </a:p>
        <a:p>
          <a:pPr algn="l" rtl="0">
            <a:defRPr sz="1000"/>
          </a:pPr>
          <a:r>
            <a:rPr lang="de-DE" sz="1300" b="0" i="0" u="none" strike="noStrike" baseline="0">
              <a:solidFill>
                <a:srgbClr val="000000"/>
              </a:solidFill>
              <a:latin typeface="Arial"/>
              <a:cs typeface="Arial"/>
            </a:rPr>
            <a:t>KK3  BK3</a:t>
          </a:r>
        </a:p>
        <a:p>
          <a:pPr algn="l" rtl="0">
            <a:defRPr sz="1000"/>
          </a:pPr>
          <a:r>
            <a:rPr lang="de-DE" sz="1300" b="0" i="0" u="none" strike="noStrike" baseline="0">
              <a:solidFill>
                <a:srgbClr val="000000"/>
              </a:solidFill>
              <a:latin typeface="Arial"/>
              <a:cs typeface="Arial"/>
            </a:rPr>
            <a:t>KK4  BK4</a:t>
          </a:r>
        </a:p>
        <a:p>
          <a:pPr algn="l" rtl="0">
            <a:defRPr sz="1000"/>
          </a:pPr>
          <a:r>
            <a:rPr lang="de-DE" sz="1300" b="0" i="0" u="none" strike="noStrike" baseline="0">
              <a:solidFill>
                <a:srgbClr val="000000"/>
              </a:solidFill>
              <a:latin typeface="Arial"/>
              <a:cs typeface="Arial"/>
            </a:rPr>
            <a:t>KK5  BK5</a:t>
          </a:r>
          <a:endParaRPr lang="de-DE"/>
        </a:p>
      </xdr:txBody>
    </xdr:sp>
    <xdr:clientData/>
  </xdr:twoCellAnchor>
  <xdr:twoCellAnchor editAs="oneCell">
    <xdr:from>
      <xdr:col>20</xdr:col>
      <xdr:colOff>167640</xdr:colOff>
      <xdr:row>30</xdr:row>
      <xdr:rowOff>7620</xdr:rowOff>
    </xdr:from>
    <xdr:to>
      <xdr:col>21</xdr:col>
      <xdr:colOff>655416</xdr:colOff>
      <xdr:row>31</xdr:row>
      <xdr:rowOff>126475</xdr:rowOff>
    </xdr:to>
    <xdr:pic>
      <xdr:nvPicPr>
        <xdr:cNvPr id="2" name="Grafik 1"/>
        <xdr:cNvPicPr>
          <a:picLocks noChangeAspect="1"/>
        </xdr:cNvPicPr>
      </xdr:nvPicPr>
      <xdr:blipFill>
        <a:blip xmlns:r="http://schemas.openxmlformats.org/officeDocument/2006/relationships" r:embed="rId1"/>
        <a:stretch>
          <a:fillRect/>
        </a:stretch>
      </xdr:blipFill>
      <xdr:spPr>
        <a:xfrm>
          <a:off x="7764780" y="12115800"/>
          <a:ext cx="1219296" cy="835135"/>
        </a:xfrm>
        <a:prstGeom prst="rect">
          <a:avLst/>
        </a:prstGeom>
      </xdr:spPr>
    </xdr:pic>
    <xdr:clientData/>
  </xdr:twoCellAnchor>
  <xdr:twoCellAnchor>
    <xdr:from>
      <xdr:col>0</xdr:col>
      <xdr:colOff>9525</xdr:colOff>
      <xdr:row>0</xdr:row>
      <xdr:rowOff>9525</xdr:rowOff>
    </xdr:from>
    <xdr:to>
      <xdr:col>22</xdr:col>
      <xdr:colOff>256116</xdr:colOff>
      <xdr:row>7</xdr:row>
      <xdr:rowOff>314324</xdr:rowOff>
    </xdr:to>
    <xdr:grpSp>
      <xdr:nvGrpSpPr>
        <xdr:cNvPr id="12" name="Gruppieren 11"/>
        <xdr:cNvGrpSpPr/>
      </xdr:nvGrpSpPr>
      <xdr:grpSpPr>
        <a:xfrm>
          <a:off x="9525" y="9525"/>
          <a:ext cx="9285816" cy="1438274"/>
          <a:chOff x="0" y="0"/>
          <a:chExt cx="9258299" cy="1479285"/>
        </a:xfrm>
      </xdr:grpSpPr>
      <xdr:sp macro="" textlink="">
        <xdr:nvSpPr>
          <xdr:cNvPr id="19" name="Rectangle 86"/>
          <xdr:cNvSpPr>
            <a:spLocks noChangeArrowheads="1"/>
          </xdr:cNvSpPr>
        </xdr:nvSpPr>
        <xdr:spPr bwMode="auto">
          <a:xfrm>
            <a:off x="220488" y="0"/>
            <a:ext cx="9037811" cy="298485"/>
          </a:xfrm>
          <a:prstGeom prst="rect">
            <a:avLst/>
          </a:prstGeom>
          <a:solidFill>
            <a:srgbClr val="B5460E"/>
          </a:solidFill>
          <a:ln>
            <a:noFill/>
          </a:ln>
        </xdr:spPr>
        <xdr:txBody>
          <a:bodyPr rot="0" vert="horz" wrap="square" lIns="91440" tIns="45720" rIns="91440" bIns="45720" anchor="t" anchorCtr="0" upright="1">
            <a:noAutofit/>
          </a:bodyPr>
          <a:lstStyle/>
          <a:p>
            <a:endParaRPr lang="de-DE"/>
          </a:p>
        </xdr:txBody>
      </xdr:sp>
      <xdr:sp macro="" textlink="">
        <xdr:nvSpPr>
          <xdr:cNvPr id="20" name="Oval 24"/>
          <xdr:cNvSpPr>
            <a:spLocks noChangeArrowheads="1"/>
          </xdr:cNvSpPr>
        </xdr:nvSpPr>
        <xdr:spPr bwMode="auto">
          <a:xfrm>
            <a:off x="0" y="0"/>
            <a:ext cx="514733" cy="582157"/>
          </a:xfrm>
          <a:prstGeom prst="ellipse">
            <a:avLst/>
          </a:prstGeom>
          <a:solidFill>
            <a:srgbClr val="B5460E"/>
          </a:solidFill>
          <a:ln>
            <a:noFill/>
          </a:ln>
        </xdr:spPr>
        <xdr:txBody>
          <a:bodyPr rot="0" vert="horz" wrap="square" lIns="91440" tIns="45720" rIns="91440" bIns="45720" anchor="t" anchorCtr="0" upright="1">
            <a:noAutofit/>
          </a:bodyPr>
          <a:lstStyle/>
          <a:p>
            <a:endParaRPr lang="de-DE"/>
          </a:p>
        </xdr:txBody>
      </xdr:sp>
      <xdr:sp macro="" textlink="">
        <xdr:nvSpPr>
          <xdr:cNvPr id="21" name="Rectangle 85"/>
          <xdr:cNvSpPr>
            <a:spLocks noChangeArrowheads="1"/>
          </xdr:cNvSpPr>
        </xdr:nvSpPr>
        <xdr:spPr bwMode="auto">
          <a:xfrm>
            <a:off x="0" y="298485"/>
            <a:ext cx="791897" cy="1180800"/>
          </a:xfrm>
          <a:prstGeom prst="rect">
            <a:avLst/>
          </a:prstGeom>
          <a:solidFill>
            <a:srgbClr val="D85B22"/>
          </a:solidFill>
          <a:ln>
            <a:noFill/>
          </a:ln>
        </xdr:spPr>
        <xdr:txBody>
          <a:bodyPr rot="0" vert="horz" wrap="square" lIns="91440" tIns="45720" rIns="91440" bIns="45720" anchor="t" anchorCtr="0" upright="1">
            <a:noAutofit/>
          </a:bodyPr>
          <a:lstStyle/>
          <a:p>
            <a:endParaRPr lang="de-DE"/>
          </a:p>
        </xdr:txBody>
      </xdr:sp>
      <xdr:pic>
        <xdr:nvPicPr>
          <xdr:cNvPr id="22" name="Bild 17"/>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91" t="10284" r="-291" b="13746"/>
          <a:stretch/>
        </xdr:blipFill>
        <xdr:spPr bwMode="auto">
          <a:xfrm>
            <a:off x="790574" y="294716"/>
            <a:ext cx="4191001" cy="1182261"/>
          </a:xfrm>
          <a:prstGeom prst="rect">
            <a:avLst/>
          </a:prstGeom>
          <a:ln>
            <a:noFill/>
          </a:ln>
          <a:extLst>
            <a:ext uri="{53640926-AAD7-44D8-BBD7-CCE9431645EC}">
              <a14:shadowObscured xmlns:a14="http://schemas.microsoft.com/office/drawing/2010/main"/>
            </a:ext>
            <a:ext uri="{FAA26D3D-D897-4be2-8F04-BA451C77F1D7}">
              <ma14:placeholderFlag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pic>
        <xdr:nvPicPr>
          <xdr:cNvPr id="23" name="Bild 16" descr="WBM_UFK_2009_rgb"/>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91558" y="421335"/>
            <a:ext cx="2766741" cy="1004780"/>
          </a:xfrm>
          <a:prstGeom prst="rect">
            <a:avLst/>
          </a:prstGeom>
          <a:noFill/>
          <a:ln>
            <a:noFill/>
          </a:ln>
        </xdr:spPr>
      </xdr:pic>
      <xdr:sp macro="" textlink="">
        <xdr:nvSpPr>
          <xdr:cNvPr id="24" name="Text Box 51"/>
          <xdr:cNvSpPr txBox="1">
            <a:spLocks noChangeArrowheads="1"/>
          </xdr:cNvSpPr>
        </xdr:nvSpPr>
        <xdr:spPr bwMode="auto">
          <a:xfrm>
            <a:off x="876300" y="57150"/>
            <a:ext cx="6266596" cy="2532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spAutoFit/>
          </a:bodyPr>
          <a:lstStyle/>
          <a:p>
            <a:pPr marL="0" indent="0" algn="l" rtl="0">
              <a:defRPr sz="1000"/>
            </a:pPr>
            <a:r>
              <a:rPr lang="de-DE" sz="1500" b="0" i="0" u="none" strike="noStrike" cap="all" spc="110" baseline="0">
                <a:solidFill>
                  <a:srgbClr val="FFFFFF"/>
                </a:solidFill>
                <a:latin typeface="+mn-lt"/>
                <a:ea typeface="Arial"/>
                <a:cs typeface="Arial"/>
              </a:rPr>
              <a:t>BERECHNUNG DES ENTGELTS </a:t>
            </a:r>
          </a:p>
        </xdr:txBody>
      </xdr:sp>
    </xdr:grpSp>
    <xdr:clientData/>
  </xdr:twoCellAnchor>
  <xdr:twoCellAnchor>
    <xdr:from>
      <xdr:col>0</xdr:col>
      <xdr:colOff>36195</xdr:colOff>
      <xdr:row>36</xdr:row>
      <xdr:rowOff>70009</xdr:rowOff>
    </xdr:from>
    <xdr:to>
      <xdr:col>5</xdr:col>
      <xdr:colOff>1295400</xdr:colOff>
      <xdr:row>50</xdr:row>
      <xdr:rowOff>76200</xdr:rowOff>
    </xdr:to>
    <xdr:grpSp>
      <xdr:nvGrpSpPr>
        <xdr:cNvPr id="13" name="Gruppierung 3"/>
        <xdr:cNvGrpSpPr/>
      </xdr:nvGrpSpPr>
      <xdr:grpSpPr>
        <a:xfrm>
          <a:off x="36195" y="12090559"/>
          <a:ext cx="7402830" cy="3301841"/>
          <a:chOff x="1259632" y="-236562"/>
          <a:chExt cx="6480720" cy="2655418"/>
        </a:xfrm>
      </xdr:grpSpPr>
      <xdr:pic>
        <xdr:nvPicPr>
          <xdr:cNvPr id="14" name="Bild 1" descr="21_BMWK-EULER EKG-UFK_de_RGB_hoch.png"/>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59632" y="-236562"/>
            <a:ext cx="2631277" cy="2655418"/>
          </a:xfrm>
          <a:prstGeom prst="rect">
            <a:avLst/>
          </a:prstGeom>
        </xdr:spPr>
      </xdr:pic>
      <xdr:pic>
        <xdr:nvPicPr>
          <xdr:cNvPr id="15" name="Bild 2" descr="21-EKG-UFK-Disclaimer-BMWK-RGB-d.png"/>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96428" y="-236562"/>
            <a:ext cx="3843924" cy="2650327"/>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265853</xdr:colOff>
      <xdr:row>38</xdr:row>
      <xdr:rowOff>1692</xdr:rowOff>
    </xdr:from>
    <xdr:to>
      <xdr:col>8</xdr:col>
      <xdr:colOff>592667</xdr:colOff>
      <xdr:row>44</xdr:row>
      <xdr:rowOff>59266</xdr:rowOff>
    </xdr:to>
    <xdr:sp macro="" textlink="">
      <xdr:nvSpPr>
        <xdr:cNvPr id="12293" name="Text Box 5"/>
        <xdr:cNvSpPr txBox="1">
          <a:spLocks noChangeArrowheads="1"/>
        </xdr:cNvSpPr>
      </xdr:nvSpPr>
      <xdr:spPr bwMode="auto">
        <a:xfrm>
          <a:off x="6390428" y="7831242"/>
          <a:ext cx="3717714" cy="1581574"/>
        </a:xfrm>
        <a:prstGeom prst="rect">
          <a:avLst/>
        </a:prstGeom>
        <a:solidFill>
          <a:srgbClr xmlns:mc="http://schemas.openxmlformats.org/markup-compatibility/2006" xmlns:a14="http://schemas.microsoft.com/office/drawing/2010/main" val="D0CEC6" mc:Ignorable="a14" a14:legacySpreadsheetColorIndex="41"/>
        </a:solidFill>
        <a:ln w="9525">
          <a:solidFill>
            <a:srgbClr xmlns:mc="http://schemas.openxmlformats.org/markup-compatibility/2006" xmlns:a14="http://schemas.microsoft.com/office/drawing/2010/main" val="A6A48F" mc:Ignorable="a14" a14:legacySpreadsheetColorIndex="44"/>
          </a:solidFill>
          <a:miter lim="800000"/>
          <a:headEnd/>
          <a:tailEnd/>
        </a:ln>
      </xdr:spPr>
      <xdr:txBody>
        <a:bodyPr vertOverflow="clip" wrap="square" lIns="36576" tIns="27432" rIns="0" bIns="0" anchor="t" upright="1"/>
        <a:lstStyle/>
        <a:p>
          <a:pPr algn="l" rtl="0">
            <a:defRPr sz="1000"/>
          </a:pPr>
          <a:r>
            <a:rPr lang="de-DE" sz="1000" b="1" i="0" u="none" strike="noStrike" baseline="0">
              <a:solidFill>
                <a:srgbClr val="000000"/>
              </a:solidFill>
              <a:latin typeface="Arial"/>
              <a:cs typeface="Arial"/>
            </a:rPr>
            <a:t>Bitte beachten Sie: </a:t>
          </a:r>
        </a:p>
        <a:p>
          <a:pPr algn="l" rtl="0">
            <a:defRPr sz="1000"/>
          </a:pPr>
          <a:r>
            <a:rPr lang="de-DE" sz="1000" b="0" i="0" u="none" strike="noStrike" baseline="0">
              <a:solidFill>
                <a:srgbClr val="000000"/>
              </a:solidFill>
              <a:latin typeface="Arial"/>
              <a:cs typeface="Arial"/>
            </a:rPr>
            <a:t>Die Entgeltberechnung ist nur für die Länder der Kategorie 1 - 7 möglich. </a:t>
          </a:r>
          <a:br>
            <a:rPr lang="de-DE" sz="1000" b="0" i="0" u="none" strike="noStrike" baseline="0">
              <a:solidFill>
                <a:srgbClr val="000000"/>
              </a:solidFill>
              <a:latin typeface="Arial"/>
              <a:cs typeface="Arial"/>
            </a:rPr>
          </a:br>
          <a:endParaRPr lang="de-DE" sz="1000" b="0" i="0" u="none" strike="noStrike" baseline="0">
            <a:solidFill>
              <a:srgbClr val="000000"/>
            </a:solidFill>
            <a:latin typeface="Arial"/>
            <a:cs typeface="Arial"/>
          </a:endParaRPr>
        </a:p>
        <a:p>
          <a:pPr algn="l" rtl="0">
            <a:defRPr sz="1000"/>
          </a:pPr>
          <a:r>
            <a:rPr lang="de-DE" sz="1000" b="1" i="0" u="none" strike="noStrike" baseline="0">
              <a:solidFill>
                <a:srgbClr val="000000"/>
              </a:solidFill>
              <a:latin typeface="Arial"/>
              <a:cs typeface="Arial"/>
            </a:rPr>
            <a:t>Für Länder der Kategorie 0 sowie für Hocheinkommensländer der OECD und der Eurozone gelten separate Mindestprämienregelungen des OECD-Konsensus ("Markttest"). Dies kann auch für EU-Länder zutreffen, die keine Hocheinkommensländer der Eurozone sind. </a:t>
          </a:r>
          <a:br>
            <a:rPr lang="de-DE" sz="1000" b="1" i="0" u="none" strike="noStrike" baseline="0">
              <a:solidFill>
                <a:srgbClr val="000000"/>
              </a:solidFill>
              <a:latin typeface="Arial"/>
              <a:cs typeface="Arial"/>
            </a:rPr>
          </a:br>
          <a:r>
            <a:rPr lang="de-DE" sz="1000" b="0" i="0" u="none" strike="noStrike" baseline="0">
              <a:solidFill>
                <a:srgbClr val="000000"/>
              </a:solidFill>
              <a:latin typeface="Arial"/>
              <a:cs typeface="Arial"/>
            </a:rPr>
            <a:t>Bitte sprechen Sie uns hierfür an!</a:t>
          </a:r>
          <a:endParaRPr lang="de-DE"/>
        </a:p>
      </xdr:txBody>
    </xdr:sp>
    <xdr:clientData/>
  </xdr:twoCellAnchor>
  <xdr:twoCellAnchor>
    <xdr:from>
      <xdr:col>6</xdr:col>
      <xdr:colOff>1295400</xdr:colOff>
      <xdr:row>27</xdr:row>
      <xdr:rowOff>0</xdr:rowOff>
    </xdr:from>
    <xdr:to>
      <xdr:col>7</xdr:col>
      <xdr:colOff>7620</xdr:colOff>
      <xdr:row>29</xdr:row>
      <xdr:rowOff>7620</xdr:rowOff>
    </xdr:to>
    <xdr:grpSp>
      <xdr:nvGrpSpPr>
        <xdr:cNvPr id="12397" name="Group 109"/>
        <xdr:cNvGrpSpPr>
          <a:grpSpLocks/>
        </xdr:cNvGrpSpPr>
      </xdr:nvGrpSpPr>
      <xdr:grpSpPr bwMode="auto">
        <a:xfrm>
          <a:off x="7498556" y="5953125"/>
          <a:ext cx="1117283" cy="531495"/>
          <a:chOff x="796" y="765"/>
          <a:chExt cx="120" cy="51"/>
        </a:xfrm>
      </xdr:grpSpPr>
      <xdr:sp macro="" textlink="">
        <xdr:nvSpPr>
          <xdr:cNvPr id="12394" name="Rectangle 106"/>
          <xdr:cNvSpPr>
            <a:spLocks noChangeArrowheads="1"/>
          </xdr:cNvSpPr>
        </xdr:nvSpPr>
        <xdr:spPr bwMode="auto">
          <a:xfrm>
            <a:off x="796" y="765"/>
            <a:ext cx="120" cy="51"/>
          </a:xfrm>
          <a:prstGeom prst="rect">
            <a:avLst/>
          </a:prstGeom>
          <a:solidFill>
            <a:srgbClr val="B3CBDB"/>
          </a:solidFill>
          <a:ln w="9525">
            <a:solidFill>
              <a:srgbClr xmlns:mc="http://schemas.openxmlformats.org/markup-compatibility/2006" xmlns:a14="http://schemas.microsoft.com/office/drawing/2010/main" val="A6A48F" mc:Ignorable="a14" a14:legacySpreadsheetColorIndex="44"/>
            </a:solidFill>
            <a:miter lim="800000"/>
            <a:headEnd/>
            <a:tailEnd/>
          </a:ln>
        </xdr:spPr>
      </xdr:sp>
      <mc:AlternateContent xmlns:mc="http://schemas.openxmlformats.org/markup-compatibility/2006">
        <mc:Choice xmlns:a14="http://schemas.microsoft.com/office/drawing/2010/main" Requires="a14">
          <xdr:sp macro="" textlink="">
            <xdr:nvSpPr>
              <xdr:cNvPr id="12341" name="Drop Down 53" hidden="1">
                <a:extLst>
                  <a:ext uri="{63B3BB69-23CF-44E3-9099-C40C66FF867C}">
                    <a14:compatExt spid="_x0000_s12341"/>
                  </a:ext>
                </a:extLst>
              </xdr:cNvPr>
              <xdr:cNvSpPr/>
            </xdr:nvSpPr>
            <xdr:spPr bwMode="auto">
              <a:xfrm>
                <a:off x="799" y="765"/>
                <a:ext cx="115" cy="25"/>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2389" name="Drop Down 101" hidden="1">
                <a:extLst>
                  <a:ext uri="{63B3BB69-23CF-44E3-9099-C40C66FF867C}">
                    <a14:compatExt spid="_x0000_s12389"/>
                  </a:ext>
                </a:extLst>
              </xdr:cNvPr>
              <xdr:cNvSpPr/>
            </xdr:nvSpPr>
            <xdr:spPr bwMode="auto">
              <a:xfrm>
                <a:off x="799" y="792"/>
                <a:ext cx="115" cy="23"/>
              </a:xfrm>
              <a:prstGeom prst="rect">
                <a:avLst/>
              </a:prstGeom>
              <a:noFill/>
              <a:ln>
                <a:noFill/>
              </a:ln>
              <a:extLst>
                <a:ext uri="{91240B29-F687-4F45-9708-019B960494DF}">
                  <a14:hiddenLine w="9525">
                    <a:noFill/>
                    <a:miter lim="800000"/>
                    <a:headEnd/>
                    <a:tailEnd/>
                  </a14:hiddenLine>
                </a:ext>
              </a:extLst>
            </xdr:spPr>
          </xdr:sp>
        </mc:Choice>
        <mc:Fallback/>
      </mc:AlternateContent>
    </xdr:grpSp>
    <xdr:clientData/>
  </xdr:twoCellAnchor>
  <xdr:twoCellAnchor>
    <xdr:from>
      <xdr:col>3</xdr:col>
      <xdr:colOff>9527</xdr:colOff>
      <xdr:row>30</xdr:row>
      <xdr:rowOff>166687</xdr:rowOff>
    </xdr:from>
    <xdr:to>
      <xdr:col>4</xdr:col>
      <xdr:colOff>2228851</xdr:colOff>
      <xdr:row>34</xdr:row>
      <xdr:rowOff>94190</xdr:rowOff>
    </xdr:to>
    <xdr:sp macro="" textlink="">
      <xdr:nvSpPr>
        <xdr:cNvPr id="24" name="Text Box 5"/>
        <xdr:cNvSpPr txBox="1">
          <a:spLocks noChangeArrowheads="1"/>
        </xdr:cNvSpPr>
      </xdr:nvSpPr>
      <xdr:spPr bwMode="auto">
        <a:xfrm>
          <a:off x="426246" y="6858000"/>
          <a:ext cx="4445793" cy="784753"/>
        </a:xfrm>
        <a:prstGeom prst="rect">
          <a:avLst/>
        </a:prstGeom>
        <a:solidFill>
          <a:srgbClr val="D8D6BD"/>
        </a:solidFill>
        <a:ln w="9525">
          <a:solidFill>
            <a:srgbClr xmlns:mc="http://schemas.openxmlformats.org/markup-compatibility/2006" xmlns:a14="http://schemas.microsoft.com/office/drawing/2010/main" val="A6A48F" mc:Ignorable="a14" a14:legacySpreadsheetColorIndex="44"/>
          </a:solidFill>
          <a:miter lim="800000"/>
          <a:headEnd/>
          <a:tailEnd/>
        </a:ln>
      </xdr:spPr>
      <xdr:txBody>
        <a:bodyPr vertOverflow="clip" wrap="square" lIns="27432" tIns="22860" rIns="0" bIns="0" anchor="ctr" upright="1"/>
        <a:lstStyle/>
        <a:p>
          <a:pPr algn="l" rtl="0">
            <a:defRPr sz="1000"/>
          </a:pPr>
          <a:r>
            <a:rPr lang="de-DE">
              <a:latin typeface="Arial" pitchFamily="34" charset="0"/>
              <a:cs typeface="Arial" pitchFamily="34" charset="0"/>
            </a:rPr>
            <a:t>Die Risikolaufzeit setzt sich zusammen aus</a:t>
          </a:r>
          <a:r>
            <a:rPr lang="de-DE" baseline="0">
              <a:latin typeface="Arial" pitchFamily="34" charset="0"/>
              <a:cs typeface="Arial" pitchFamily="34" charset="0"/>
            </a:rPr>
            <a:t> der </a:t>
          </a:r>
          <a:r>
            <a:rPr lang="de-DE" b="1" baseline="0">
              <a:latin typeface="Arial" pitchFamily="34" charset="0"/>
              <a:cs typeface="Arial" pitchFamily="34" charset="0"/>
            </a:rPr>
            <a:t>Rückzahlungszeit des Kredits </a:t>
          </a:r>
          <a:r>
            <a:rPr lang="de-DE" baseline="0">
              <a:latin typeface="Arial" pitchFamily="34" charset="0"/>
              <a:cs typeface="Arial" pitchFamily="34" charset="0"/>
            </a:rPr>
            <a:t>sowie der </a:t>
          </a:r>
          <a:r>
            <a:rPr lang="de-DE" b="1" baseline="0">
              <a:latin typeface="Arial" pitchFamily="34" charset="0"/>
              <a:cs typeface="Arial" pitchFamily="34" charset="0"/>
            </a:rPr>
            <a:t>halben Vorlaufzeit</a:t>
          </a:r>
          <a:r>
            <a:rPr lang="de-DE" baseline="0">
              <a:latin typeface="Arial" pitchFamily="34" charset="0"/>
              <a:cs typeface="Arial" pitchFamily="34" charset="0"/>
            </a:rPr>
            <a:t>. Tilgungsfreie Anlaufjahre ("Grace Period") sind nicht der Vorlaufzeit, sondern der Rückzahlungszeit des Kredits zuzurechnen.</a:t>
          </a:r>
          <a:endParaRPr lang="de-DE">
            <a:latin typeface="Arial" pitchFamily="34" charset="0"/>
            <a:cs typeface="Arial" pitchFamily="34" charset="0"/>
          </a:endParaRPr>
        </a:p>
      </xdr:txBody>
    </xdr:sp>
    <xdr:clientData/>
  </xdr:twoCellAnchor>
  <xdr:twoCellAnchor>
    <xdr:from>
      <xdr:col>3</xdr:col>
      <xdr:colOff>1981199</xdr:colOff>
      <xdr:row>47</xdr:row>
      <xdr:rowOff>0</xdr:rowOff>
    </xdr:from>
    <xdr:to>
      <xdr:col>3</xdr:col>
      <xdr:colOff>2143124</xdr:colOff>
      <xdr:row>47</xdr:row>
      <xdr:rowOff>189525</xdr:rowOff>
    </xdr:to>
    <xdr:sp macro="" textlink="">
      <xdr:nvSpPr>
        <xdr:cNvPr id="32" name="Rectangle 2"/>
        <xdr:cNvSpPr/>
      </xdr:nvSpPr>
      <xdr:spPr>
        <a:xfrm flipH="1">
          <a:off x="2390774" y="10325100"/>
          <a:ext cx="161925" cy="189525"/>
        </a:xfrm>
        <a:prstGeom prst="rect">
          <a:avLst/>
        </a:prstGeom>
        <a:solidFill>
          <a:srgbClr val="733B1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mc:AlternateContent xmlns:mc="http://schemas.openxmlformats.org/markup-compatibility/2006">
    <mc:Choice xmlns:a14="http://schemas.microsoft.com/office/drawing/2010/main" Requires="a14">
      <xdr:twoCellAnchor editAs="oneCell">
        <xdr:from>
          <xdr:col>3</xdr:col>
          <xdr:colOff>1952625</xdr:colOff>
          <xdr:row>46</xdr:row>
          <xdr:rowOff>200025</xdr:rowOff>
        </xdr:from>
        <xdr:to>
          <xdr:col>3</xdr:col>
          <xdr:colOff>2209800</xdr:colOff>
          <xdr:row>47</xdr:row>
          <xdr:rowOff>209550</xdr:rowOff>
        </xdr:to>
        <xdr:sp macro="" textlink="">
          <xdr:nvSpPr>
            <xdr:cNvPr id="12856" name="Check Box 568" hidden="1">
              <a:extLst>
                <a:ext uri="{63B3BB69-23CF-44E3-9099-C40C66FF867C}">
                  <a14:compatExt spid="_x0000_s12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9525</xdr:colOff>
      <xdr:row>0</xdr:row>
      <xdr:rowOff>28576</xdr:rowOff>
    </xdr:from>
    <xdr:to>
      <xdr:col>7</xdr:col>
      <xdr:colOff>684741</xdr:colOff>
      <xdr:row>9</xdr:row>
      <xdr:rowOff>9525</xdr:rowOff>
    </xdr:to>
    <xdr:grpSp>
      <xdr:nvGrpSpPr>
        <xdr:cNvPr id="18" name="Gruppieren 17"/>
        <xdr:cNvGrpSpPr/>
      </xdr:nvGrpSpPr>
      <xdr:grpSpPr>
        <a:xfrm>
          <a:off x="9525" y="28576"/>
          <a:ext cx="9283435" cy="1481137"/>
          <a:chOff x="0" y="0"/>
          <a:chExt cx="9258299" cy="1479285"/>
        </a:xfrm>
      </xdr:grpSpPr>
      <xdr:sp macro="" textlink="">
        <xdr:nvSpPr>
          <xdr:cNvPr id="19" name="Rectangle 86"/>
          <xdr:cNvSpPr>
            <a:spLocks noChangeArrowheads="1"/>
          </xdr:cNvSpPr>
        </xdr:nvSpPr>
        <xdr:spPr bwMode="auto">
          <a:xfrm>
            <a:off x="220488" y="0"/>
            <a:ext cx="9037811" cy="298485"/>
          </a:xfrm>
          <a:prstGeom prst="rect">
            <a:avLst/>
          </a:prstGeom>
          <a:solidFill>
            <a:srgbClr val="B5460E"/>
          </a:solidFill>
          <a:ln>
            <a:noFill/>
          </a:ln>
        </xdr:spPr>
        <xdr:txBody>
          <a:bodyPr rot="0" vert="horz" wrap="square" lIns="91440" tIns="45720" rIns="91440" bIns="45720" anchor="t" anchorCtr="0" upright="1">
            <a:noAutofit/>
          </a:bodyPr>
          <a:lstStyle/>
          <a:p>
            <a:endParaRPr lang="de-DE"/>
          </a:p>
        </xdr:txBody>
      </xdr:sp>
      <xdr:sp macro="" textlink="">
        <xdr:nvSpPr>
          <xdr:cNvPr id="20" name="Oval 24"/>
          <xdr:cNvSpPr>
            <a:spLocks noChangeArrowheads="1"/>
          </xdr:cNvSpPr>
        </xdr:nvSpPr>
        <xdr:spPr bwMode="auto">
          <a:xfrm>
            <a:off x="0" y="0"/>
            <a:ext cx="514733" cy="582157"/>
          </a:xfrm>
          <a:prstGeom prst="ellipse">
            <a:avLst/>
          </a:prstGeom>
          <a:solidFill>
            <a:srgbClr val="B5460E"/>
          </a:solidFill>
          <a:ln>
            <a:noFill/>
          </a:ln>
        </xdr:spPr>
        <xdr:txBody>
          <a:bodyPr rot="0" vert="horz" wrap="square" lIns="91440" tIns="45720" rIns="91440" bIns="45720" anchor="t" anchorCtr="0" upright="1">
            <a:noAutofit/>
          </a:bodyPr>
          <a:lstStyle/>
          <a:p>
            <a:endParaRPr lang="de-DE"/>
          </a:p>
        </xdr:txBody>
      </xdr:sp>
      <xdr:sp macro="" textlink="">
        <xdr:nvSpPr>
          <xdr:cNvPr id="21" name="Rectangle 85"/>
          <xdr:cNvSpPr>
            <a:spLocks noChangeArrowheads="1"/>
          </xdr:cNvSpPr>
        </xdr:nvSpPr>
        <xdr:spPr bwMode="auto">
          <a:xfrm>
            <a:off x="0" y="298485"/>
            <a:ext cx="791897" cy="1180800"/>
          </a:xfrm>
          <a:prstGeom prst="rect">
            <a:avLst/>
          </a:prstGeom>
          <a:solidFill>
            <a:srgbClr val="D85B22"/>
          </a:solidFill>
          <a:ln>
            <a:noFill/>
          </a:ln>
        </xdr:spPr>
        <xdr:txBody>
          <a:bodyPr rot="0" vert="horz" wrap="square" lIns="91440" tIns="45720" rIns="91440" bIns="45720" anchor="t" anchorCtr="0" upright="1">
            <a:noAutofit/>
          </a:bodyPr>
          <a:lstStyle/>
          <a:p>
            <a:endParaRPr lang="de-DE"/>
          </a:p>
        </xdr:txBody>
      </xdr:sp>
      <xdr:pic>
        <xdr:nvPicPr>
          <xdr:cNvPr id="22" name="Bild 17"/>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91" t="10284" r="-291" b="13746"/>
          <a:stretch/>
        </xdr:blipFill>
        <xdr:spPr bwMode="auto">
          <a:xfrm>
            <a:off x="790574" y="294716"/>
            <a:ext cx="4191001" cy="1182261"/>
          </a:xfrm>
          <a:prstGeom prst="rect">
            <a:avLst/>
          </a:prstGeom>
          <a:ln>
            <a:noFill/>
          </a:ln>
          <a:extLst>
            <a:ext uri="{53640926-AAD7-44D8-BBD7-CCE9431645EC}">
              <a14:shadowObscured xmlns:a14="http://schemas.microsoft.com/office/drawing/2010/main"/>
            </a:ext>
            <a:ext uri="{FAA26D3D-D897-4be2-8F04-BA451C77F1D7}">
              <ma14:placeholderFlag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pic>
        <xdr:nvPicPr>
          <xdr:cNvPr id="30" name="Bild 16" descr="WBM_UFK_2009_rgb"/>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91558" y="421335"/>
            <a:ext cx="2766741" cy="1004780"/>
          </a:xfrm>
          <a:prstGeom prst="rect">
            <a:avLst/>
          </a:prstGeom>
          <a:noFill/>
          <a:ln>
            <a:noFill/>
          </a:ln>
        </xdr:spPr>
      </xdr:pic>
      <xdr:sp macro="" textlink="">
        <xdr:nvSpPr>
          <xdr:cNvPr id="31" name="Text Box 51"/>
          <xdr:cNvSpPr txBox="1">
            <a:spLocks noChangeArrowheads="1"/>
          </xdr:cNvSpPr>
        </xdr:nvSpPr>
        <xdr:spPr bwMode="auto">
          <a:xfrm>
            <a:off x="876300" y="57150"/>
            <a:ext cx="6266596" cy="2532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spAutoFit/>
          </a:bodyPr>
          <a:lstStyle/>
          <a:p>
            <a:pPr marL="0" indent="0" algn="l" rtl="0">
              <a:defRPr sz="1000"/>
            </a:pPr>
            <a:r>
              <a:rPr lang="de-DE" sz="1500" b="0" i="0" u="none" strike="noStrike" cap="all" spc="110" baseline="0">
                <a:solidFill>
                  <a:srgbClr val="FFFFFF"/>
                </a:solidFill>
                <a:latin typeface="+mn-lt"/>
                <a:ea typeface="Arial"/>
                <a:cs typeface="Arial"/>
              </a:rPr>
              <a:t>BERECHNUNG DES ENTGELTS </a:t>
            </a:r>
          </a:p>
        </xdr:txBody>
      </xdr:sp>
    </xdr:grpSp>
    <xdr:clientData/>
  </xdr:twoCellAnchor>
  <xdr:twoCellAnchor>
    <xdr:from>
      <xdr:col>0</xdr:col>
      <xdr:colOff>37094</xdr:colOff>
      <xdr:row>65</xdr:row>
      <xdr:rowOff>26541</xdr:rowOff>
    </xdr:from>
    <xdr:to>
      <xdr:col>5</xdr:col>
      <xdr:colOff>1250155</xdr:colOff>
      <xdr:row>77</xdr:row>
      <xdr:rowOff>142874</xdr:rowOff>
    </xdr:to>
    <xdr:grpSp>
      <xdr:nvGrpSpPr>
        <xdr:cNvPr id="23" name="Gruppierung 3"/>
        <xdr:cNvGrpSpPr/>
      </xdr:nvGrpSpPr>
      <xdr:grpSpPr>
        <a:xfrm>
          <a:off x="37094" y="14218791"/>
          <a:ext cx="6142249" cy="2688083"/>
          <a:chOff x="1259632" y="-236562"/>
          <a:chExt cx="6480720" cy="2655418"/>
        </a:xfrm>
      </xdr:grpSpPr>
      <xdr:pic>
        <xdr:nvPicPr>
          <xdr:cNvPr id="25" name="Bild 1" descr="21_BMWK-EULER EKG-UFK_de_RGB_hoch.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59632" y="-236562"/>
            <a:ext cx="2631277" cy="2655418"/>
          </a:xfrm>
          <a:prstGeom prst="rect">
            <a:avLst/>
          </a:prstGeom>
        </xdr:spPr>
      </xdr:pic>
      <xdr:pic>
        <xdr:nvPicPr>
          <xdr:cNvPr id="26" name="Bild 2" descr="21-EKG-UFK-Disclaimer-BMWK-RGB-d.png"/>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6428" y="-236562"/>
            <a:ext cx="3843924" cy="2650327"/>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247650</xdr:colOff>
      <xdr:row>0</xdr:row>
      <xdr:rowOff>0</xdr:rowOff>
    </xdr:from>
    <xdr:to>
      <xdr:col>6</xdr:col>
      <xdr:colOff>304800</xdr:colOff>
      <xdr:row>0</xdr:row>
      <xdr:rowOff>0</xdr:rowOff>
    </xdr:to>
    <xdr:pic>
      <xdr:nvPicPr>
        <xdr:cNvPr id="2" name="Picture 1" descr="2Logo rg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95600" y="0"/>
          <a:ext cx="1809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8</xdr:col>
      <xdr:colOff>732571</xdr:colOff>
      <xdr:row>1</xdr:row>
      <xdr:rowOff>117896</xdr:rowOff>
    </xdr:to>
    <xdr:sp macro="" textlink="">
      <xdr:nvSpPr>
        <xdr:cNvPr id="3" name="Text Box 51"/>
        <xdr:cNvSpPr txBox="1">
          <a:spLocks noChangeArrowheads="1"/>
        </xdr:cNvSpPr>
      </xdr:nvSpPr>
      <xdr:spPr bwMode="auto">
        <a:xfrm>
          <a:off x="276225" y="0"/>
          <a:ext cx="6438046" cy="2798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de-DE" sz="1100" b="1" i="0" u="none" strike="noStrike" baseline="0">
              <a:solidFill>
                <a:srgbClr val="FFFFFF"/>
              </a:solidFill>
              <a:latin typeface="Arial"/>
              <a:cs typeface="Arial"/>
            </a:rPr>
            <a:t>BERECHNUNG DES ENTGELTS </a:t>
          </a:r>
          <a:endParaRPr lang="de-DE"/>
        </a:p>
      </xdr:txBody>
    </xdr:sp>
    <xdr:clientData/>
  </xdr:twoCellAnchor>
  <xdr:twoCellAnchor>
    <xdr:from>
      <xdr:col>0</xdr:col>
      <xdr:colOff>0</xdr:colOff>
      <xdr:row>0</xdr:row>
      <xdr:rowOff>0</xdr:rowOff>
    </xdr:from>
    <xdr:to>
      <xdr:col>12</xdr:col>
      <xdr:colOff>628649</xdr:colOff>
      <xdr:row>9</xdr:row>
      <xdr:rowOff>21960</xdr:rowOff>
    </xdr:to>
    <xdr:grpSp>
      <xdr:nvGrpSpPr>
        <xdr:cNvPr id="6" name="Gruppieren 5"/>
        <xdr:cNvGrpSpPr/>
      </xdr:nvGrpSpPr>
      <xdr:grpSpPr>
        <a:xfrm>
          <a:off x="0" y="0"/>
          <a:ext cx="9258299" cy="1479285"/>
          <a:chOff x="0" y="0"/>
          <a:chExt cx="9258299" cy="1479285"/>
        </a:xfrm>
      </xdr:grpSpPr>
      <xdr:sp macro="" textlink="">
        <xdr:nvSpPr>
          <xdr:cNvPr id="7" name="Rectangle 86"/>
          <xdr:cNvSpPr>
            <a:spLocks noChangeArrowheads="1"/>
          </xdr:cNvSpPr>
        </xdr:nvSpPr>
        <xdr:spPr bwMode="auto">
          <a:xfrm>
            <a:off x="220488" y="0"/>
            <a:ext cx="9037811" cy="298485"/>
          </a:xfrm>
          <a:prstGeom prst="rect">
            <a:avLst/>
          </a:prstGeom>
          <a:solidFill>
            <a:srgbClr val="B5460E"/>
          </a:solidFill>
          <a:ln>
            <a:noFill/>
          </a:ln>
        </xdr:spPr>
        <xdr:txBody>
          <a:bodyPr rot="0" vert="horz" wrap="square" lIns="91440" tIns="45720" rIns="91440" bIns="45720" anchor="t" anchorCtr="0" upright="1">
            <a:noAutofit/>
          </a:bodyPr>
          <a:lstStyle/>
          <a:p>
            <a:endParaRPr lang="de-DE"/>
          </a:p>
        </xdr:txBody>
      </xdr:sp>
      <xdr:sp macro="" textlink="">
        <xdr:nvSpPr>
          <xdr:cNvPr id="8" name="Oval 24"/>
          <xdr:cNvSpPr>
            <a:spLocks noChangeArrowheads="1"/>
          </xdr:cNvSpPr>
        </xdr:nvSpPr>
        <xdr:spPr bwMode="auto">
          <a:xfrm>
            <a:off x="0" y="0"/>
            <a:ext cx="514733" cy="582157"/>
          </a:xfrm>
          <a:prstGeom prst="ellipse">
            <a:avLst/>
          </a:prstGeom>
          <a:solidFill>
            <a:srgbClr val="B5460E"/>
          </a:solidFill>
          <a:ln>
            <a:noFill/>
          </a:ln>
        </xdr:spPr>
        <xdr:txBody>
          <a:bodyPr rot="0" vert="horz" wrap="square" lIns="91440" tIns="45720" rIns="91440" bIns="45720" anchor="t" anchorCtr="0" upright="1">
            <a:noAutofit/>
          </a:bodyPr>
          <a:lstStyle/>
          <a:p>
            <a:endParaRPr lang="de-DE"/>
          </a:p>
        </xdr:txBody>
      </xdr:sp>
      <xdr:sp macro="" textlink="">
        <xdr:nvSpPr>
          <xdr:cNvPr id="9" name="Rectangle 85"/>
          <xdr:cNvSpPr>
            <a:spLocks noChangeArrowheads="1"/>
          </xdr:cNvSpPr>
        </xdr:nvSpPr>
        <xdr:spPr bwMode="auto">
          <a:xfrm>
            <a:off x="0" y="298485"/>
            <a:ext cx="791897" cy="1180800"/>
          </a:xfrm>
          <a:prstGeom prst="rect">
            <a:avLst/>
          </a:prstGeom>
          <a:solidFill>
            <a:srgbClr val="D85B22"/>
          </a:solidFill>
          <a:ln>
            <a:noFill/>
          </a:ln>
        </xdr:spPr>
        <xdr:txBody>
          <a:bodyPr rot="0" vert="horz" wrap="square" lIns="91440" tIns="45720" rIns="91440" bIns="45720" anchor="t" anchorCtr="0" upright="1">
            <a:noAutofit/>
          </a:bodyPr>
          <a:lstStyle/>
          <a:p>
            <a:endParaRPr lang="de-DE"/>
          </a:p>
        </xdr:txBody>
      </xdr:sp>
      <xdr:pic>
        <xdr:nvPicPr>
          <xdr:cNvPr id="10" name="Bild 17"/>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91" t="10284" r="-291" b="13746"/>
          <a:stretch/>
        </xdr:blipFill>
        <xdr:spPr bwMode="auto">
          <a:xfrm>
            <a:off x="790574" y="294716"/>
            <a:ext cx="4191001" cy="1182261"/>
          </a:xfrm>
          <a:prstGeom prst="rect">
            <a:avLst/>
          </a:prstGeom>
          <a:ln>
            <a:noFill/>
          </a:ln>
          <a:extLst>
            <a:ext uri="{53640926-AAD7-44D8-BBD7-CCE9431645EC}">
              <a14:shadowObscured xmlns:a14="http://schemas.microsoft.com/office/drawing/2010/main"/>
            </a:ext>
            <a:ext uri="{FAA26D3D-D897-4be2-8F04-BA451C77F1D7}">
              <ma14:placeholderFlag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pic>
        <xdr:nvPicPr>
          <xdr:cNvPr id="11" name="Bild 16" descr="WBM_UFK_2009_rgb"/>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91558" y="421335"/>
            <a:ext cx="2766741" cy="1004780"/>
          </a:xfrm>
          <a:prstGeom prst="rect">
            <a:avLst/>
          </a:prstGeom>
          <a:noFill/>
          <a:ln>
            <a:noFill/>
          </a:ln>
        </xdr:spPr>
      </xdr:pic>
      <xdr:sp macro="" textlink="">
        <xdr:nvSpPr>
          <xdr:cNvPr id="12" name="Text Box 51"/>
          <xdr:cNvSpPr txBox="1">
            <a:spLocks noChangeArrowheads="1"/>
          </xdr:cNvSpPr>
        </xdr:nvSpPr>
        <xdr:spPr bwMode="auto">
          <a:xfrm>
            <a:off x="876300" y="57150"/>
            <a:ext cx="6266596" cy="2532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spAutoFit/>
          </a:bodyPr>
          <a:lstStyle/>
          <a:p>
            <a:pPr marL="0" indent="0" algn="l" rtl="0">
              <a:defRPr sz="1000"/>
            </a:pPr>
            <a:r>
              <a:rPr lang="de-DE" sz="1500" b="0" i="0" u="none" strike="noStrike" cap="all" spc="110" baseline="0">
                <a:solidFill>
                  <a:srgbClr val="FFFFFF"/>
                </a:solidFill>
                <a:latin typeface="+mn-lt"/>
                <a:ea typeface="Arial"/>
                <a:cs typeface="Arial"/>
              </a:rPr>
              <a:t>BERECHNUNG DES ENTGELTS </a:t>
            </a:r>
          </a:p>
        </xdr:txBody>
      </xdr:sp>
    </xdr:grpSp>
    <xdr:clientData/>
  </xdr:twoCellAnchor>
  <xdr:twoCellAnchor editAs="oneCell">
    <xdr:from>
      <xdr:col>1</xdr:col>
      <xdr:colOff>7</xdr:colOff>
      <xdr:row>34</xdr:row>
      <xdr:rowOff>0</xdr:rowOff>
    </xdr:from>
    <xdr:to>
      <xdr:col>4</xdr:col>
      <xdr:colOff>252617</xdr:colOff>
      <xdr:row>49</xdr:row>
      <xdr:rowOff>91125</xdr:rowOff>
    </xdr:to>
    <xdr:pic>
      <xdr:nvPicPr>
        <xdr:cNvPr id="14" name="Grafik 1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6232" y="6115050"/>
          <a:ext cx="2624335" cy="252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gaportal.de/DOCUME~1/0931235/LOCALS~1/Temp/DropOL/20110624-Entwurf%20externes%20Entgelttool_Makrofre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ad.intra.net\de-dfs1\DAT\HV09\U\DUL\AAAA-ARBEITSUNTERLAGEN-VERWALTUNG\Grundsatz\Entgelt%20-%20siehe%20auch%20Grundsatzakten\Entgeltreform%202019\Umsetzung_Entgeltrechner+Verzeichnis\entgeltrechner-ufk_201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1\0930770\LOCALS~1\Temp\notesB199A1\Entgeltrechn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2)"/>
      <sheetName val="Hinweise"/>
      <sheetName val="Fabrikationsrisikodeckung"/>
      <sheetName val="kurzfristige Deckung"/>
      <sheetName val="mittelfristige Deckung"/>
      <sheetName val="sonst. Deckungen"/>
      <sheetName val="Übersicht Gebühren+Entgelte"/>
      <sheetName val="Basisdaten"/>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sheetName val="UFK-Entgelt"/>
      <sheetName val="Verbriefung"/>
      <sheetName val="DEVELOPER"/>
    </sheetNames>
    <sheetDataSet>
      <sheetData sheetId="0"/>
      <sheetData sheetId="1">
        <row r="26">
          <cell r="J26">
            <v>10</v>
          </cell>
        </row>
        <row r="27">
          <cell r="M27">
            <v>200000000</v>
          </cell>
        </row>
        <row r="28">
          <cell r="E28">
            <v>6</v>
          </cell>
          <cell r="J28">
            <v>10.25</v>
          </cell>
        </row>
        <row r="40">
          <cell r="D40">
            <v>200000000</v>
          </cell>
        </row>
        <row r="41">
          <cell r="D41">
            <v>3</v>
          </cell>
        </row>
        <row r="42">
          <cell r="D42" t="str">
            <v>PC3</v>
          </cell>
        </row>
        <row r="44">
          <cell r="D44">
            <v>5.9200000000000003E-2</v>
          </cell>
        </row>
        <row r="45">
          <cell r="D45">
            <v>11840000</v>
          </cell>
        </row>
        <row r="135">
          <cell r="W135">
            <v>5.25</v>
          </cell>
        </row>
        <row r="137">
          <cell r="W137">
            <v>10.25</v>
          </cell>
        </row>
        <row r="245">
          <cell r="N245">
            <v>5.25</v>
          </cell>
        </row>
        <row r="247">
          <cell r="N247">
            <v>10.25</v>
          </cell>
        </row>
      </sheetData>
      <sheetData sheetId="2"/>
      <sheetData sheetId="3">
        <row r="5">
          <cell r="C5">
            <v>6</v>
          </cell>
          <cell r="H5">
            <v>1</v>
          </cell>
        </row>
        <row r="8">
          <cell r="H8">
            <v>10</v>
          </cell>
        </row>
        <row r="9">
          <cell r="H9">
            <v>120</v>
          </cell>
        </row>
        <row r="11">
          <cell r="H11">
            <v>0</v>
          </cell>
        </row>
        <row r="12">
          <cell r="H12">
            <v>0</v>
          </cell>
        </row>
        <row r="15">
          <cell r="D15">
            <v>0</v>
          </cell>
        </row>
        <row r="16">
          <cell r="D16">
            <v>0</v>
          </cell>
        </row>
        <row r="17">
          <cell r="D17">
            <v>10.25</v>
          </cell>
        </row>
        <row r="69">
          <cell r="A69" t="b">
            <v>0</v>
          </cell>
          <cell r="B69">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DBaseK"/>
      <sheetName val="Kufri"/>
      <sheetName val="PrintK"/>
      <sheetName val="DBaseP"/>
      <sheetName val="DBaseM"/>
      <sheetName val="ZBregel"/>
      <sheetName val="ZBunregel"/>
      <sheetName val="PrintPlan"/>
      <sheetName val="ZBunregelR"/>
      <sheetName val="PrintG"/>
      <sheetName val="FKG I"/>
      <sheetName val="FKG II"/>
      <sheetName val="PrintFKG"/>
      <sheetName val="DBaseFG"/>
      <sheetName val="PrintFG"/>
      <sheetName val="DBaseFGGG"/>
      <sheetName val="FG+GG"/>
      <sheetName val="PrintFG+GG"/>
      <sheetName val="DBaseFGG"/>
      <sheetName val="FG+G I"/>
      <sheetName val="FG+G II"/>
      <sheetName val="FG+G III"/>
      <sheetName val="FG+G IV"/>
      <sheetName val="PrintFG+G"/>
      <sheetName val="DBaseFGGGG"/>
      <sheetName val="FG+G+GG I"/>
      <sheetName val="FG+G+GG II"/>
      <sheetName val="FG+G+GG III"/>
      <sheetName val="FG+G+GG IV"/>
      <sheetName val="PrintFG+G+GG"/>
      <sheetName val="DBaseGGG"/>
      <sheetName val="G+GG I"/>
      <sheetName val="G+GG II"/>
      <sheetName val="G+GG III"/>
      <sheetName val="PrintG+GG"/>
      <sheetName val="DBB"/>
      <sheetName val="PrintDBB"/>
    </sheetNames>
    <sheetDataSet>
      <sheetData sheetId="0" refreshError="1"/>
      <sheetData sheetId="1" refreshError="1"/>
      <sheetData sheetId="2" refreshError="1"/>
      <sheetData sheetId="3" refreshError="1"/>
      <sheetData sheetId="4">
        <row r="1">
          <cell r="D1" t="str">
            <v>EUR</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oleObject" Target="../embeddings/Microsoft_Word_97_-_2003_Document.doc"/><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drawing" Target="../drawings/drawing2.xml"/><Relationship Id="rId7" Type="http://schemas.openxmlformats.org/officeDocument/2006/relationships/ctrlProp" Target="../ctrlProps/ctrlProp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tabColor indexed="26"/>
    <pageSetUpPr fitToPage="1"/>
  </sheetPr>
  <dimension ref="A8:V43"/>
  <sheetViews>
    <sheetView showGridLines="0" tabSelected="1" showRuler="0" showOutlineSymbols="0" topLeftCell="A28" zoomScaleNormal="100" zoomScaleSheetLayoutView="100" workbookViewId="0">
      <selection activeCell="D57" sqref="D57"/>
    </sheetView>
  </sheetViews>
  <sheetFormatPr baseColWidth="10" defaultColWidth="10.375" defaultRowHeight="12.75" x14ac:dyDescent="0.2"/>
  <cols>
    <col min="1" max="1" width="0.75" style="400" customWidth="1"/>
    <col min="2" max="2" width="37.5" style="118" customWidth="1"/>
    <col min="3" max="3" width="13" style="118" customWidth="1"/>
    <col min="4" max="4" width="13.5" style="118" customWidth="1"/>
    <col min="5" max="5" width="15.875" style="118" customWidth="1"/>
    <col min="6" max="6" width="18" style="118" customWidth="1"/>
    <col min="7" max="20" width="10.375" style="118" hidden="1" customWidth="1"/>
    <col min="21" max="21" width="9.625" style="118" customWidth="1"/>
    <col min="22" max="16384" width="10.375" style="118"/>
  </cols>
  <sheetData>
    <row r="8" spans="2:6" ht="29.45" customHeight="1" x14ac:dyDescent="0.2">
      <c r="B8" s="4"/>
      <c r="F8" s="401"/>
    </row>
    <row r="9" spans="2:6" ht="21" customHeight="1" x14ac:dyDescent="0.2">
      <c r="B9" s="151" t="s">
        <v>197</v>
      </c>
      <c r="F9" s="390"/>
    </row>
    <row r="10" spans="2:6" ht="15" x14ac:dyDescent="0.25">
      <c r="B10" s="149"/>
    </row>
    <row r="11" spans="2:6" ht="12" customHeight="1" x14ac:dyDescent="0.2">
      <c r="B11" s="150" t="s">
        <v>163</v>
      </c>
      <c r="C11" s="402"/>
      <c r="D11" s="402"/>
      <c r="E11" s="402"/>
      <c r="F11" s="402"/>
    </row>
    <row r="12" spans="2:6" ht="78" customHeight="1" x14ac:dyDescent="0.2">
      <c r="B12" s="465" t="s">
        <v>223</v>
      </c>
      <c r="C12" s="465"/>
      <c r="D12" s="465"/>
      <c r="E12" s="465"/>
      <c r="F12" s="465"/>
    </row>
    <row r="13" spans="2:6" ht="47.25" customHeight="1" x14ac:dyDescent="0.2">
      <c r="B13" s="470" t="s">
        <v>194</v>
      </c>
      <c r="C13" s="470"/>
      <c r="D13" s="470"/>
      <c r="E13" s="470"/>
      <c r="F13" s="470"/>
    </row>
    <row r="14" spans="2:6" ht="30" customHeight="1" x14ac:dyDescent="0.2">
      <c r="B14" s="466" t="s">
        <v>216</v>
      </c>
      <c r="C14" s="466"/>
      <c r="D14" s="466"/>
      <c r="E14" s="466"/>
      <c r="F14" s="466"/>
    </row>
    <row r="15" spans="2:6" ht="12" customHeight="1" x14ac:dyDescent="0.2">
      <c r="B15" s="399"/>
      <c r="C15" s="399"/>
      <c r="D15" s="399"/>
      <c r="E15" s="399"/>
      <c r="F15" s="399"/>
    </row>
    <row r="16" spans="2:6" ht="12" customHeight="1" x14ac:dyDescent="0.2">
      <c r="B16" s="150" t="s">
        <v>96</v>
      </c>
      <c r="C16" s="150"/>
      <c r="D16" s="150"/>
      <c r="E16" s="150"/>
      <c r="F16" s="150"/>
    </row>
    <row r="17" spans="2:6" ht="81.599999999999994" customHeight="1" x14ac:dyDescent="0.2">
      <c r="B17" s="467" t="s">
        <v>195</v>
      </c>
      <c r="C17" s="467"/>
      <c r="D17" s="467"/>
      <c r="E17" s="467"/>
      <c r="F17" s="467"/>
    </row>
    <row r="18" spans="2:6" ht="12" customHeight="1" x14ac:dyDescent="0.2">
      <c r="B18" s="468"/>
      <c r="C18" s="469"/>
      <c r="D18" s="469"/>
      <c r="E18" s="469"/>
      <c r="F18" s="469"/>
    </row>
    <row r="19" spans="2:6" ht="12" customHeight="1" x14ac:dyDescent="0.2">
      <c r="B19" s="150" t="s">
        <v>221</v>
      </c>
      <c r="C19" s="150"/>
      <c r="D19" s="150"/>
      <c r="E19" s="150"/>
      <c r="F19" s="150"/>
    </row>
    <row r="20" spans="2:6" ht="62.45" customHeight="1" x14ac:dyDescent="0.2">
      <c r="B20" s="464" t="s">
        <v>217</v>
      </c>
      <c r="C20" s="464"/>
      <c r="D20" s="464"/>
      <c r="E20" s="464"/>
      <c r="F20" s="464"/>
    </row>
    <row r="21" spans="2:6" ht="42" customHeight="1" x14ac:dyDescent="0.2">
      <c r="B21" s="464" t="s">
        <v>219</v>
      </c>
      <c r="C21" s="464"/>
      <c r="D21" s="464"/>
      <c r="E21" s="464"/>
      <c r="F21" s="464"/>
    </row>
    <row r="22" spans="2:6" ht="72.599999999999994" customHeight="1" x14ac:dyDescent="0.2">
      <c r="B22" s="464" t="s">
        <v>222</v>
      </c>
      <c r="C22" s="464"/>
      <c r="D22" s="464"/>
      <c r="E22" s="464"/>
      <c r="F22" s="464"/>
    </row>
    <row r="23" spans="2:6" ht="15" customHeight="1" x14ac:dyDescent="0.2">
      <c r="B23" s="399"/>
      <c r="C23" s="399"/>
      <c r="D23" s="399"/>
      <c r="E23" s="399"/>
      <c r="F23" s="399"/>
    </row>
    <row r="24" spans="2:6" x14ac:dyDescent="0.2">
      <c r="B24" s="150" t="s">
        <v>97</v>
      </c>
      <c r="C24" s="150"/>
      <c r="D24" s="150"/>
      <c r="E24" s="150"/>
      <c r="F24" s="150"/>
    </row>
    <row r="25" spans="2:6" ht="61.15" customHeight="1" x14ac:dyDescent="0.2">
      <c r="B25" s="466" t="s">
        <v>218</v>
      </c>
      <c r="C25" s="466"/>
      <c r="D25" s="466"/>
      <c r="E25" s="466"/>
      <c r="F25" s="466"/>
    </row>
    <row r="27" spans="2:6" x14ac:dyDescent="0.2">
      <c r="B27" s="150" t="s">
        <v>170</v>
      </c>
      <c r="C27" s="402"/>
      <c r="D27" s="402"/>
      <c r="E27" s="402"/>
      <c r="F27" s="402"/>
    </row>
    <row r="28" spans="2:6" ht="9" customHeight="1" x14ac:dyDescent="0.2"/>
    <row r="29" spans="2:6" ht="21.75" customHeight="1" x14ac:dyDescent="0.2">
      <c r="B29" s="466" t="s">
        <v>196</v>
      </c>
      <c r="C29" s="466"/>
      <c r="D29" s="466"/>
      <c r="E29" s="466"/>
      <c r="F29" s="466"/>
    </row>
    <row r="30" spans="2:6" ht="16.899999999999999" customHeight="1" x14ac:dyDescent="0.2"/>
    <row r="31" spans="2:6" ht="56.45" customHeight="1" x14ac:dyDescent="0.2">
      <c r="B31" s="472" t="s">
        <v>172</v>
      </c>
      <c r="C31" s="472"/>
      <c r="D31" s="472"/>
      <c r="E31" s="472"/>
      <c r="F31" s="472"/>
    </row>
    <row r="32" spans="2:6" ht="28.9" customHeight="1" x14ac:dyDescent="0.2">
      <c r="B32" s="466" t="s">
        <v>171</v>
      </c>
      <c r="C32" s="466"/>
      <c r="D32" s="466"/>
      <c r="E32" s="466"/>
      <c r="F32" s="466"/>
    </row>
    <row r="34" spans="5:22" ht="21.6" customHeight="1" x14ac:dyDescent="0.2"/>
    <row r="35" spans="5:22" ht="19.149999999999999" customHeight="1" x14ac:dyDescent="0.2">
      <c r="E35" s="471" t="s">
        <v>198</v>
      </c>
      <c r="F35" s="471"/>
      <c r="G35" s="471"/>
      <c r="H35" s="471"/>
      <c r="I35" s="471"/>
      <c r="J35" s="471"/>
      <c r="K35" s="471"/>
      <c r="L35" s="471"/>
      <c r="M35" s="471"/>
      <c r="N35" s="471"/>
      <c r="O35" s="471"/>
      <c r="P35" s="471"/>
      <c r="Q35" s="471"/>
      <c r="R35" s="471"/>
      <c r="S35" s="471"/>
      <c r="T35" s="471"/>
      <c r="U35" s="471"/>
      <c r="V35" s="471"/>
    </row>
    <row r="36" spans="5:22" ht="21.6" customHeight="1" x14ac:dyDescent="0.2">
      <c r="E36" s="471"/>
      <c r="F36" s="471"/>
      <c r="G36" s="471"/>
      <c r="H36" s="471"/>
      <c r="I36" s="471"/>
      <c r="J36" s="471"/>
      <c r="K36" s="471"/>
      <c r="L36" s="471"/>
      <c r="M36" s="471"/>
      <c r="N36" s="471"/>
      <c r="O36" s="471"/>
      <c r="P36" s="471"/>
      <c r="Q36" s="471"/>
      <c r="R36" s="471"/>
      <c r="S36" s="471"/>
      <c r="T36" s="471"/>
      <c r="U36" s="471"/>
      <c r="V36" s="471"/>
    </row>
    <row r="37" spans="5:22" ht="20.45" customHeight="1" x14ac:dyDescent="0.2">
      <c r="E37" s="471"/>
      <c r="F37" s="471"/>
      <c r="G37" s="471"/>
      <c r="H37" s="471"/>
      <c r="I37" s="471"/>
      <c r="J37" s="471"/>
      <c r="K37" s="471"/>
      <c r="L37" s="471"/>
      <c r="M37" s="471"/>
      <c r="N37" s="471"/>
      <c r="O37" s="471"/>
      <c r="P37" s="471"/>
      <c r="Q37" s="471"/>
      <c r="R37" s="471"/>
      <c r="S37" s="471"/>
      <c r="T37" s="471"/>
      <c r="U37" s="471"/>
      <c r="V37" s="471"/>
    </row>
    <row r="38" spans="5:22" ht="19.899999999999999" customHeight="1" x14ac:dyDescent="0.2">
      <c r="E38" s="471"/>
      <c r="F38" s="471"/>
      <c r="G38" s="471"/>
      <c r="H38" s="471"/>
      <c r="I38" s="471"/>
      <c r="J38" s="471"/>
      <c r="K38" s="471"/>
      <c r="L38" s="471"/>
      <c r="M38" s="471"/>
      <c r="N38" s="471"/>
      <c r="O38" s="471"/>
      <c r="P38" s="471"/>
      <c r="Q38" s="471"/>
      <c r="R38" s="471"/>
      <c r="S38" s="471"/>
      <c r="T38" s="471"/>
      <c r="U38" s="471"/>
      <c r="V38" s="471"/>
    </row>
    <row r="39" spans="5:22" ht="21" customHeight="1" x14ac:dyDescent="0.2"/>
    <row r="40" spans="5:22" ht="21.6" customHeight="1" x14ac:dyDescent="0.2"/>
    <row r="41" spans="5:22" ht="22.15" customHeight="1" x14ac:dyDescent="0.2"/>
    <row r="42" spans="5:22" ht="23.45" customHeight="1" x14ac:dyDescent="0.2"/>
    <row r="43" spans="5:22" ht="43.9" customHeight="1" x14ac:dyDescent="0.2"/>
  </sheetData>
  <sheetProtection selectLockedCells="1"/>
  <customSheetViews>
    <customSheetView guid="{C798F9DC-8C66-4C7B-B521-CB959D9721F2}" showRowCol="0" outlineSymbols="0" fitToPage="1">
      <selection activeCell="B12" sqref="B12:F12"/>
      <rowBreaks count="1" manualBreakCount="1">
        <brk id="51" max="5" man="1"/>
      </rowBreaks>
      <pageMargins left="0.78740157480314965" right="0.78740157480314965" top="0.61" bottom="0.98425196850393704" header="0.39" footer="0.51181102362204722"/>
      <printOptions horizontalCentered="1"/>
      <pageSetup paperSize="9" scale="65" orientation="portrait" verticalDpi="4" r:id="rId1"/>
      <headerFooter alignWithMargins="0">
        <oddHeader>&amp;F</oddHeader>
        <oddFooter>&amp;A</oddFooter>
      </headerFooter>
    </customSheetView>
  </customSheetViews>
  <mergeCells count="13">
    <mergeCell ref="E35:V38"/>
    <mergeCell ref="B29:F29"/>
    <mergeCell ref="B25:F25"/>
    <mergeCell ref="B32:F32"/>
    <mergeCell ref="B31:F31"/>
    <mergeCell ref="B21:F21"/>
    <mergeCell ref="B22:F22"/>
    <mergeCell ref="B12:F12"/>
    <mergeCell ref="B14:F14"/>
    <mergeCell ref="B17:F17"/>
    <mergeCell ref="B20:F20"/>
    <mergeCell ref="B18:F18"/>
    <mergeCell ref="B13:F13"/>
  </mergeCells>
  <phoneticPr fontId="6" type="noConversion"/>
  <printOptions horizontalCentered="1"/>
  <pageMargins left="0.78740157480314965" right="0.78740157480314965" top="0.59055118110236227" bottom="0.59055118110236227" header="0.31496062992125984" footer="0.31496062992125984"/>
  <pageSetup paperSize="9" scale="54" orientation="portrait" verticalDpi="4" r:id="rId2"/>
  <headerFooter differentFirst="1" alignWithMargins="0">
    <oddFooter>&amp;A</oddFooter>
    <firstHeader>&amp;C&amp;A</firstHeader>
    <firstFooter>&amp;LEuler Hermes Aktiengesellschaft&amp;CSeite &amp;P&amp;R&amp;D</firstFooter>
  </headerFooter>
  <rowBreaks count="1" manualBreakCount="1">
    <brk id="43" max="5" man="1"/>
  </rowBreaks>
  <drawing r:id="rId3"/>
  <legacyDrawing r:id="rId4"/>
  <oleObjects>
    <mc:AlternateContent xmlns:mc="http://schemas.openxmlformats.org/markup-compatibility/2006">
      <mc:Choice Requires="x14">
        <oleObject progId="Document" shapeId="13336" r:id="rId5">
          <objectPr defaultSize="0" autoPict="0" r:id="rId6">
            <anchor moveWithCells="1" sizeWithCells="1">
              <from>
                <xdr:col>20</xdr:col>
                <xdr:colOff>180975</xdr:colOff>
                <xdr:row>19</xdr:row>
                <xdr:rowOff>200025</xdr:rowOff>
              </from>
              <to>
                <xdr:col>24</xdr:col>
                <xdr:colOff>685800</xdr:colOff>
                <xdr:row>23</xdr:row>
                <xdr:rowOff>47625</xdr:rowOff>
              </to>
            </anchor>
          </objectPr>
        </oleObject>
      </mc:Choice>
      <mc:Fallback>
        <oleObject progId="Document" shapeId="13336" r:id="rId5"/>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theme="9" tint="-0.499984740745262"/>
    <pageSetUpPr fitToPage="1"/>
  </sheetPr>
  <dimension ref="A1:AL256"/>
  <sheetViews>
    <sheetView showGridLines="0" topLeftCell="A55" zoomScale="80" zoomScaleNormal="80" zoomScaleSheetLayoutView="100" workbookViewId="0">
      <selection activeCell="S55" sqref="S55"/>
    </sheetView>
  </sheetViews>
  <sheetFormatPr baseColWidth="10" defaultColWidth="10.25" defaultRowHeight="12.75" x14ac:dyDescent="0.2"/>
  <cols>
    <col min="1" max="2" width="1.5" style="101" customWidth="1"/>
    <col min="3" max="3" width="2.375" style="101" customWidth="1"/>
    <col min="4" max="4" width="29.25" style="101" customWidth="1"/>
    <col min="5" max="5" width="30" style="101" customWidth="1"/>
    <col min="6" max="6" width="16.75" style="101" customWidth="1"/>
    <col min="7" max="7" width="31.625" style="101" customWidth="1"/>
    <col min="8" max="8" width="14.875" style="101" customWidth="1"/>
    <col min="9" max="9" width="11.25" style="101" customWidth="1"/>
    <col min="10" max="10" width="19.375" style="101" hidden="1" customWidth="1"/>
    <col min="11" max="11" width="32.375" style="159" hidden="1" customWidth="1"/>
    <col min="12" max="12" width="11.375" style="159" hidden="1" customWidth="1"/>
    <col min="13" max="13" width="11" style="159" hidden="1" customWidth="1"/>
    <col min="14" max="14" width="9.875" style="159" hidden="1" customWidth="1"/>
    <col min="15" max="15" width="12.875" style="159" hidden="1" customWidth="1"/>
    <col min="16" max="16" width="21.625" style="159" hidden="1" customWidth="1"/>
    <col min="17" max="17" width="6.875" style="159" hidden="1" customWidth="1"/>
    <col min="18" max="18" width="8.625" style="101" bestFit="1" customWidth="1"/>
    <col min="19" max="19" width="48.875" style="101" bestFit="1" customWidth="1"/>
    <col min="20" max="20" width="24.625" style="101" bestFit="1" customWidth="1"/>
    <col min="21" max="21" width="9.75" style="101" hidden="1" customWidth="1"/>
    <col min="22" max="22" width="10.25" style="101" hidden="1" customWidth="1"/>
    <col min="23" max="23" width="2.875" style="101" hidden="1" customWidth="1"/>
    <col min="24" max="24" width="14.375" style="101" hidden="1" customWidth="1"/>
    <col min="25" max="25" width="29.5" style="101" hidden="1" customWidth="1"/>
    <col min="26" max="26" width="20.125" style="101" hidden="1" customWidth="1"/>
    <col min="27" max="27" width="2.875" style="101" hidden="1" customWidth="1"/>
    <col min="28" max="28" width="19.5" style="101" hidden="1" customWidth="1"/>
    <col min="29" max="29" width="29.5" style="101" hidden="1" customWidth="1"/>
    <col min="30" max="30" width="20.125" style="101" hidden="1" customWidth="1"/>
    <col min="31" max="31" width="27.5" style="101" hidden="1" customWidth="1"/>
    <col min="32" max="32" width="21.875" style="101" hidden="1" customWidth="1"/>
    <col min="33" max="33" width="29.875" style="101" hidden="1" customWidth="1"/>
    <col min="34" max="34" width="20.125" style="101" hidden="1" customWidth="1"/>
    <col min="35" max="35" width="2.875" style="101" hidden="1" customWidth="1"/>
    <col min="36" max="36" width="19.5" style="101" hidden="1" customWidth="1"/>
    <col min="37" max="37" width="29.875" style="101" hidden="1" customWidth="1"/>
    <col min="38" max="38" width="20.125" style="101" hidden="1" customWidth="1"/>
    <col min="39" max="16384" width="10.25" style="101"/>
  </cols>
  <sheetData>
    <row r="1" spans="1:19" ht="12.75" customHeight="1" x14ac:dyDescent="0.2">
      <c r="A1" s="143"/>
    </row>
    <row r="2" spans="1:19" ht="12.75" customHeight="1" x14ac:dyDescent="0.2">
      <c r="A2" s="143"/>
    </row>
    <row r="3" spans="1:19" ht="12.75" customHeight="1" x14ac:dyDescent="0.2">
      <c r="A3" s="143"/>
    </row>
    <row r="4" spans="1:19" ht="12.75" customHeight="1" x14ac:dyDescent="0.2">
      <c r="A4" s="143"/>
    </row>
    <row r="5" spans="1:19" ht="12.75" customHeight="1" x14ac:dyDescent="0.2">
      <c r="A5" s="143"/>
    </row>
    <row r="6" spans="1:19" ht="12.75" customHeight="1" x14ac:dyDescent="0.2">
      <c r="A6" s="143"/>
      <c r="R6" s="111"/>
      <c r="S6" s="122"/>
    </row>
    <row r="7" spans="1:19" ht="12.75" customHeight="1" x14ac:dyDescent="0.2">
      <c r="A7" s="143"/>
      <c r="R7" s="111"/>
      <c r="S7" s="122"/>
    </row>
    <row r="8" spans="1:19" ht="12.75" customHeight="1" x14ac:dyDescent="0.2">
      <c r="A8" s="143"/>
      <c r="R8" s="111"/>
      <c r="S8" s="122"/>
    </row>
    <row r="9" spans="1:19" ht="12.75" customHeight="1" x14ac:dyDescent="0.2">
      <c r="A9" s="143"/>
      <c r="R9" s="111"/>
      <c r="S9" s="122"/>
    </row>
    <row r="10" spans="1:19" s="102" customFormat="1" ht="12.75" customHeight="1" x14ac:dyDescent="0.25">
      <c r="A10" s="143"/>
      <c r="D10" s="123" t="s">
        <v>225</v>
      </c>
      <c r="K10" s="166"/>
      <c r="L10" s="166"/>
      <c r="M10" s="166"/>
      <c r="N10" s="166"/>
      <c r="O10" s="166"/>
      <c r="P10" s="166"/>
      <c r="Q10" s="166"/>
      <c r="R10" s="97"/>
      <c r="S10" s="97"/>
    </row>
    <row r="11" spans="1:19" s="102" customFormat="1" ht="12.75" customHeight="1" x14ac:dyDescent="0.25">
      <c r="A11" s="162"/>
      <c r="D11" s="123"/>
      <c r="K11" s="166"/>
      <c r="L11" s="166"/>
      <c r="M11" s="166"/>
      <c r="N11" s="166"/>
      <c r="O11" s="166"/>
      <c r="P11" s="166"/>
      <c r="Q11" s="166"/>
      <c r="R11" s="97"/>
      <c r="S11" s="97"/>
    </row>
    <row r="12" spans="1:19" s="97" customFormat="1" ht="27" customHeight="1" x14ac:dyDescent="0.2">
      <c r="D12" s="519" t="s">
        <v>199</v>
      </c>
      <c r="E12" s="519"/>
      <c r="F12" s="519"/>
      <c r="G12" s="519"/>
      <c r="H12" s="519"/>
      <c r="I12" s="103"/>
      <c r="J12" s="103"/>
      <c r="K12" s="163"/>
      <c r="L12" s="158"/>
      <c r="M12" s="158"/>
      <c r="N12" s="158"/>
      <c r="O12" s="158"/>
      <c r="P12" s="158"/>
      <c r="Q12" s="158"/>
    </row>
    <row r="13" spans="1:19" s="97" customFormat="1" ht="7.5" customHeight="1" x14ac:dyDescent="0.2">
      <c r="D13" s="103"/>
      <c r="E13" s="103"/>
      <c r="F13" s="103"/>
      <c r="G13" s="103"/>
      <c r="H13" s="103"/>
      <c r="I13" s="103"/>
      <c r="J13" s="103"/>
      <c r="K13" s="163"/>
      <c r="L13" s="158"/>
      <c r="M13" s="158"/>
      <c r="N13" s="158"/>
      <c r="O13" s="158"/>
      <c r="P13" s="158"/>
      <c r="Q13" s="158"/>
    </row>
    <row r="14" spans="1:19" s="97" customFormat="1" ht="30" customHeight="1" x14ac:dyDescent="0.2">
      <c r="D14" s="522" t="s">
        <v>201</v>
      </c>
      <c r="E14" s="522"/>
      <c r="F14" s="522"/>
      <c r="G14" s="522"/>
      <c r="H14" s="522"/>
      <c r="I14" s="522"/>
      <c r="J14" s="103"/>
      <c r="K14" s="97" t="s">
        <v>79</v>
      </c>
      <c r="M14" s="158"/>
      <c r="N14" s="158"/>
      <c r="O14" s="158"/>
      <c r="P14" s="158"/>
      <c r="Q14" s="158"/>
    </row>
    <row r="15" spans="1:19" s="97" customFormat="1" ht="45" customHeight="1" x14ac:dyDescent="0.2">
      <c r="D15" s="522" t="s">
        <v>200</v>
      </c>
      <c r="E15" s="522"/>
      <c r="F15" s="522"/>
      <c r="G15" s="522"/>
      <c r="H15" s="522"/>
      <c r="I15" s="522"/>
      <c r="J15" s="103"/>
      <c r="M15" s="158"/>
      <c r="N15" s="158"/>
      <c r="O15" s="158"/>
      <c r="P15" s="158"/>
      <c r="Q15" s="158"/>
    </row>
    <row r="16" spans="1:19" s="97" customFormat="1" ht="7.5" hidden="1" customHeight="1" x14ac:dyDescent="0.2">
      <c r="D16" s="446"/>
      <c r="E16" s="446"/>
      <c r="F16" s="446"/>
      <c r="G16" s="446"/>
      <c r="H16" s="446"/>
      <c r="I16" s="446"/>
      <c r="J16" s="103"/>
      <c r="M16" s="158"/>
      <c r="N16" s="158"/>
      <c r="O16" s="158"/>
      <c r="P16" s="158"/>
      <c r="Q16" s="158"/>
    </row>
    <row r="17" spans="4:38" s="97" customFormat="1" ht="52.5" hidden="1" customHeight="1" x14ac:dyDescent="0.2">
      <c r="D17" s="519"/>
      <c r="E17" s="519"/>
      <c r="F17" s="519"/>
      <c r="G17" s="519"/>
      <c r="H17" s="519"/>
      <c r="I17" s="519"/>
      <c r="J17" s="103"/>
      <c r="K17" s="478" t="s">
        <v>80</v>
      </c>
      <c r="L17" s="479"/>
      <c r="M17" s="158"/>
      <c r="N17" s="158"/>
      <c r="O17" s="158"/>
      <c r="P17" s="158"/>
      <c r="Q17" s="158"/>
      <c r="R17" s="473" t="s">
        <v>147</v>
      </c>
      <c r="S17" s="474"/>
      <c r="T17" s="474"/>
    </row>
    <row r="18" spans="4:38" s="97" customFormat="1" ht="14.25" hidden="1" x14ac:dyDescent="0.2">
      <c r="D18" s="520"/>
      <c r="E18" s="521"/>
      <c r="F18" s="521"/>
      <c r="G18" s="521"/>
      <c r="H18" s="521"/>
      <c r="I18" s="103"/>
      <c r="J18" s="103"/>
      <c r="K18" s="109" t="s">
        <v>91</v>
      </c>
      <c r="L18" s="121">
        <f>E29</f>
        <v>12</v>
      </c>
      <c r="M18" s="158"/>
      <c r="N18" s="158"/>
      <c r="O18" s="158"/>
      <c r="P18" s="158"/>
      <c r="Q18" s="158"/>
      <c r="R18" s="474"/>
      <c r="S18" s="474"/>
      <c r="T18" s="474"/>
    </row>
    <row r="19" spans="4:38" s="97" customFormat="1" hidden="1" x14ac:dyDescent="0.2">
      <c r="D19" s="103"/>
      <c r="E19" s="103"/>
      <c r="F19" s="103"/>
      <c r="G19" s="103"/>
      <c r="H19" s="103"/>
      <c r="I19" s="103"/>
      <c r="J19" s="103"/>
      <c r="K19" s="110" t="s">
        <v>90</v>
      </c>
      <c r="L19" s="153">
        <f>T242</f>
        <v>0</v>
      </c>
      <c r="M19" s="158"/>
      <c r="N19" s="158"/>
      <c r="O19" s="158"/>
      <c r="P19" s="158"/>
      <c r="Q19" s="158"/>
      <c r="R19" s="474"/>
      <c r="S19" s="474"/>
      <c r="T19" s="474"/>
    </row>
    <row r="20" spans="4:38" s="97" customFormat="1" ht="21.75" customHeight="1" x14ac:dyDescent="0.2">
      <c r="D20" s="447" t="s">
        <v>2</v>
      </c>
      <c r="E20" s="103"/>
      <c r="F20" s="103"/>
      <c r="G20" s="103"/>
      <c r="H20" s="103"/>
      <c r="I20" s="103"/>
      <c r="J20" s="103"/>
      <c r="K20" s="127" t="s">
        <v>103</v>
      </c>
      <c r="L20" s="148">
        <f>IF(OR(MAX(T30:T240)&lt;24,ISERROR((L18/2)/12+L19)),0,IF(L19&gt;0,T244,0))</f>
        <v>0</v>
      </c>
      <c r="M20" s="158"/>
      <c r="N20" s="158"/>
      <c r="O20" s="158"/>
      <c r="P20" s="158"/>
      <c r="Q20" s="158"/>
      <c r="R20" s="474"/>
      <c r="S20" s="474"/>
      <c r="T20" s="474"/>
    </row>
    <row r="21" spans="4:38" s="97" customFormat="1" ht="66.75" customHeight="1" x14ac:dyDescent="0.2">
      <c r="D21" s="523" t="s">
        <v>227</v>
      </c>
      <c r="E21" s="523"/>
      <c r="F21" s="523"/>
      <c r="G21" s="523"/>
      <c r="H21" s="523"/>
      <c r="I21" s="523"/>
      <c r="J21" s="103"/>
      <c r="K21" s="163"/>
      <c r="L21" s="158"/>
      <c r="M21" s="158"/>
      <c r="N21" s="158"/>
      <c r="O21" s="158"/>
      <c r="P21" s="158"/>
      <c r="Q21" s="158"/>
      <c r="R21" s="474"/>
      <c r="S21" s="474"/>
      <c r="T21" s="474"/>
    </row>
    <row r="22" spans="4:38" s="97" customFormat="1" ht="58.15" customHeight="1" x14ac:dyDescent="0.2">
      <c r="D22" s="523" t="s">
        <v>224</v>
      </c>
      <c r="E22" s="523"/>
      <c r="F22" s="523"/>
      <c r="G22" s="523"/>
      <c r="H22" s="523"/>
      <c r="I22" s="523"/>
      <c r="J22" s="103"/>
      <c r="K22" s="163"/>
      <c r="L22" s="158"/>
      <c r="M22" s="158"/>
      <c r="N22" s="158"/>
      <c r="O22" s="158"/>
      <c r="P22" s="158"/>
      <c r="Q22" s="158"/>
      <c r="R22" s="474"/>
      <c r="S22" s="474"/>
      <c r="T22" s="474"/>
    </row>
    <row r="23" spans="4:38" s="97" customFormat="1" ht="17.45" hidden="1" customHeight="1" x14ac:dyDescent="0.2">
      <c r="D23" s="139"/>
      <c r="E23" s="139"/>
      <c r="F23" s="139"/>
      <c r="G23" s="139"/>
      <c r="H23" s="139"/>
      <c r="I23" s="103"/>
      <c r="J23" s="103"/>
      <c r="K23" s="163"/>
      <c r="L23" s="158"/>
      <c r="M23" s="158"/>
      <c r="N23" s="158"/>
      <c r="O23" s="158"/>
      <c r="P23" s="158"/>
      <c r="Q23" s="158"/>
      <c r="R23" s="315" t="str">
        <f>IF(O27=6,"Ergebnis:"," ")</f>
        <v xml:space="preserve"> </v>
      </c>
      <c r="S23" s="315" t="str">
        <f>IF(O27=6,"mittlere gewogene Kreditlaufzeit (ohne Vorlaufzeit) "&amp;ROUND(T242,2)&amp;" Jahre"," ")</f>
        <v xml:space="preserve"> </v>
      </c>
      <c r="T23" s="315"/>
      <c r="AE23" s="97" t="s">
        <v>148</v>
      </c>
    </row>
    <row r="24" spans="4:38" s="97" customFormat="1" ht="27" hidden="1" customHeight="1" x14ac:dyDescent="0.2">
      <c r="D24" s="124"/>
      <c r="E24" s="103"/>
      <c r="F24" s="103"/>
      <c r="G24" s="103"/>
      <c r="H24" s="103"/>
      <c r="I24" s="103"/>
      <c r="J24" s="103"/>
      <c r="S24" s="315" t="str">
        <f>IF(O27=6,"Risikolaufzeit (einschl. Vorlaufzeit) "&amp;ROUND(T243,2)&amp;" Jahre"," ")</f>
        <v xml:space="preserve"> </v>
      </c>
    </row>
    <row r="25" spans="4:38" s="97" customFormat="1" ht="20.25" customHeight="1" thickBot="1" x14ac:dyDescent="0.25">
      <c r="K25" s="163"/>
      <c r="L25" s="163"/>
      <c r="M25" s="158"/>
      <c r="N25" s="158"/>
      <c r="O25" s="158"/>
      <c r="P25" s="158"/>
      <c r="Q25" s="158"/>
      <c r="S25" s="219" t="str">
        <f>IF(O27=6,IF(S29&gt;E41,"Summe Tilgungen übersteigt Kreditbetrag!",IF(S29&lt;E41,"Summe Tilgungen unterschreitet Kreditbetrag!","")),"")</f>
        <v/>
      </c>
      <c r="Z25" s="212">
        <f>AC132</f>
        <v>2.5</v>
      </c>
    </row>
    <row r="26" spans="4:38" s="404" customFormat="1" ht="27" customHeight="1" thickTop="1" x14ac:dyDescent="0.2">
      <c r="D26" s="524" t="s">
        <v>226</v>
      </c>
      <c r="E26" s="525"/>
      <c r="F26" s="405"/>
      <c r="G26" s="482" t="s">
        <v>145</v>
      </c>
      <c r="H26" s="483"/>
      <c r="I26" s="103"/>
      <c r="J26" s="163"/>
      <c r="K26" s="163"/>
      <c r="L26" s="406"/>
      <c r="M26" s="406"/>
      <c r="N26" s="406"/>
      <c r="O26" s="406"/>
      <c r="P26" s="406"/>
      <c r="R26" s="501" t="s">
        <v>121</v>
      </c>
      <c r="S26" s="502"/>
      <c r="T26" s="503"/>
      <c r="U26" s="403"/>
      <c r="V26" s="407"/>
      <c r="W26" s="489" t="s">
        <v>120</v>
      </c>
      <c r="X26" s="490"/>
      <c r="Y26" s="491"/>
      <c r="Z26" s="206">
        <f>Z29/X29</f>
        <v>2.5</v>
      </c>
      <c r="AA26" s="408"/>
      <c r="AB26" s="409"/>
      <c r="AC26" s="410"/>
      <c r="AD26" s="206"/>
      <c r="AE26" s="513" t="s">
        <v>120</v>
      </c>
      <c r="AF26" s="514"/>
      <c r="AG26" s="515"/>
      <c r="AH26" s="206">
        <f>AH29/AF29</f>
        <v>2.5</v>
      </c>
      <c r="AI26" s="411"/>
      <c r="AJ26" s="412"/>
      <c r="AK26" s="413"/>
      <c r="AL26" s="206"/>
    </row>
    <row r="27" spans="4:38" ht="20.25" customHeight="1" x14ac:dyDescent="0.2">
      <c r="D27" s="193" t="s">
        <v>215</v>
      </c>
      <c r="E27" s="448">
        <v>44470</v>
      </c>
      <c r="F27" s="97"/>
      <c r="G27" s="109" t="s">
        <v>78</v>
      </c>
      <c r="H27" s="192">
        <f>E29</f>
        <v>12</v>
      </c>
      <c r="I27" s="165"/>
      <c r="J27" s="191" t="s">
        <v>84</v>
      </c>
      <c r="K27" s="185">
        <v>1</v>
      </c>
      <c r="N27" s="188" t="s">
        <v>116</v>
      </c>
      <c r="O27" s="189">
        <v>1</v>
      </c>
      <c r="Q27" s="101"/>
      <c r="R27" s="498" t="s">
        <v>4</v>
      </c>
      <c r="S27" s="195" t="s">
        <v>82</v>
      </c>
      <c r="T27" s="495" t="s">
        <v>146</v>
      </c>
      <c r="U27" s="548" t="s">
        <v>83</v>
      </c>
      <c r="W27" s="492" t="s">
        <v>4</v>
      </c>
      <c r="X27" s="195" t="s">
        <v>82</v>
      </c>
      <c r="Y27" s="495" t="str">
        <f>"Fälligkeit in Monaten nach Starting Point; max. "&amp;$K$29</f>
        <v>Fälligkeit in Monaten nach Starting Point; max. 120</v>
      </c>
      <c r="Z27" s="207"/>
      <c r="AA27" s="492" t="s">
        <v>4</v>
      </c>
      <c r="AB27" s="195" t="s">
        <v>82</v>
      </c>
      <c r="AC27" s="549" t="str">
        <f>"Fälligkeit in Monaten nach Starting Point; max. "&amp;$K$29</f>
        <v>Fälligkeit in Monaten nach Starting Point; max. 120</v>
      </c>
      <c r="AD27" s="207"/>
      <c r="AE27" s="516" t="s">
        <v>4</v>
      </c>
      <c r="AF27" s="195" t="str">
        <f>IF(AF29=J41,"Tilgungen","angenommener Kreditbetrag!")</f>
        <v>angenommener Kreditbetrag!</v>
      </c>
      <c r="AG27" s="504" t="str">
        <f>"Fälligkeit in Monaten nach Starting Point; Max.: "&amp;$K$29</f>
        <v>Fälligkeit in Monaten nach Starting Point; Max.: 120</v>
      </c>
      <c r="AH27" s="316"/>
      <c r="AI27" s="516" t="s">
        <v>4</v>
      </c>
      <c r="AJ27" s="195" t="s">
        <v>82</v>
      </c>
      <c r="AK27" s="504" t="str">
        <f>"Fälligkeit in Monaten nach Starting Point; Max.: "&amp;$K$29</f>
        <v>Fälligkeit in Monaten nach Starting Point; Max.: 120</v>
      </c>
      <c r="AL27" s="316"/>
    </row>
    <row r="28" spans="4:38" ht="20.25" customHeight="1" x14ac:dyDescent="0.2">
      <c r="D28" s="126" t="s">
        <v>92</v>
      </c>
      <c r="E28" s="449">
        <v>44835</v>
      </c>
      <c r="F28" s="97"/>
      <c r="G28" s="110" t="s">
        <v>99</v>
      </c>
      <c r="H28" s="450">
        <v>10</v>
      </c>
      <c r="I28" s="165"/>
      <c r="J28" s="191" t="s">
        <v>106</v>
      </c>
      <c r="K28" s="186">
        <f>K29/12</f>
        <v>10</v>
      </c>
      <c r="L28" s="190">
        <v>1</v>
      </c>
      <c r="M28" s="187">
        <v>2</v>
      </c>
      <c r="N28" s="187">
        <v>6</v>
      </c>
      <c r="O28" s="187" t="s">
        <v>112</v>
      </c>
      <c r="P28" s="186"/>
      <c r="Q28" s="186"/>
      <c r="R28" s="499"/>
      <c r="S28" s="196" t="s">
        <v>117</v>
      </c>
      <c r="T28" s="496"/>
      <c r="U28" s="496"/>
      <c r="W28" s="493"/>
      <c r="X28" s="200" t="s">
        <v>117</v>
      </c>
      <c r="Y28" s="496"/>
      <c r="Z28" s="208" t="s">
        <v>118</v>
      </c>
      <c r="AA28" s="493"/>
      <c r="AB28" s="200"/>
      <c r="AC28" s="550"/>
      <c r="AD28" s="208" t="s">
        <v>118</v>
      </c>
      <c r="AE28" s="517"/>
      <c r="AF28" s="200" t="s">
        <v>117</v>
      </c>
      <c r="AG28" s="505"/>
      <c r="AH28" s="317" t="s">
        <v>118</v>
      </c>
      <c r="AI28" s="517"/>
      <c r="AJ28" s="200"/>
      <c r="AK28" s="505"/>
      <c r="AL28" s="317" t="s">
        <v>118</v>
      </c>
    </row>
    <row r="29" spans="4:38" ht="20.25" customHeight="1" x14ac:dyDescent="0.2">
      <c r="D29" s="110" t="s">
        <v>78</v>
      </c>
      <c r="E29" s="460">
        <f>IF(OR(ISERROR(E28-E28),E28&lt;E27,E27=0),0,M90)</f>
        <v>12</v>
      </c>
      <c r="F29" s="105"/>
      <c r="G29" s="127" t="s">
        <v>82</v>
      </c>
      <c r="H29" s="148" t="str">
        <f>IF(O27=6,"Bitte Tabelle ausfüllen! =&gt;","= "&amp;K30&amp;" Raten")</f>
        <v>= 20 Raten</v>
      </c>
      <c r="I29" s="165"/>
      <c r="J29" s="191" t="s">
        <v>107</v>
      </c>
      <c r="K29" s="185">
        <f>IF(O27=6,MAX(T30:T240),IF(H28=0,0,MIN(18*12,IF(K27=2,H28,H28*12))))</f>
        <v>120</v>
      </c>
      <c r="L29" s="36">
        <v>2</v>
      </c>
      <c r="M29" s="187">
        <v>3</v>
      </c>
      <c r="N29" s="187">
        <v>4</v>
      </c>
      <c r="O29" s="187" t="s">
        <v>109</v>
      </c>
      <c r="P29" s="187" t="s">
        <v>115</v>
      </c>
      <c r="Q29" s="186">
        <f>VLOOKUP(O27,L28:M32,2)</f>
        <v>2</v>
      </c>
      <c r="R29" s="500"/>
      <c r="S29" s="197">
        <f>SUM(S30:S240)</f>
        <v>0</v>
      </c>
      <c r="T29" s="497"/>
      <c r="U29" s="497"/>
      <c r="W29" s="494"/>
      <c r="X29" s="197">
        <f>SUM(X30:X137)+SUM(AB30:AB130)</f>
        <v>45000000</v>
      </c>
      <c r="Y29" s="497"/>
      <c r="Z29" s="209">
        <f>AD131</f>
        <v>112500000</v>
      </c>
      <c r="AA29" s="494"/>
      <c r="AB29" s="197"/>
      <c r="AC29" s="551"/>
      <c r="AD29" s="209">
        <f>AH131</f>
        <v>0</v>
      </c>
      <c r="AE29" s="518"/>
      <c r="AF29" s="197">
        <f>SUM(AF30:AF137)+SUM(AJ30:AJ130)</f>
        <v>45000000</v>
      </c>
      <c r="AG29" s="506"/>
      <c r="AH29" s="318">
        <f>AL131</f>
        <v>112500000</v>
      </c>
      <c r="AI29" s="518"/>
      <c r="AJ29" s="197"/>
      <c r="AK29" s="506"/>
      <c r="AL29" s="318">
        <f>AP131</f>
        <v>0</v>
      </c>
    </row>
    <row r="30" spans="4:38" ht="17.25" customHeight="1" x14ac:dyDescent="0.2">
      <c r="E30" s="164" t="str">
        <f>IF(OR(E28&lt;E27,ISERROR(E28-E27)),"Der Starting Point darf nicht vor dem Auszahlungsbeginn liegen!","")</f>
        <v/>
      </c>
      <c r="F30" s="105"/>
      <c r="G30" s="127" t="str">
        <f>IF(O27=1,"Risikolaufzeit (in Jahren)","Mittlere gewogene Risikolaufzeit (in Jahren)")</f>
        <v>Risikolaufzeit (in Jahren)</v>
      </c>
      <c r="H30" s="148">
        <f>IF(F31="",O34,0)</f>
        <v>10.5</v>
      </c>
      <c r="I30" s="165"/>
      <c r="J30" s="191" t="s">
        <v>113</v>
      </c>
      <c r="K30" s="185">
        <f>IF(O27=6,0,ROUND(K28*Q29,2))</f>
        <v>20</v>
      </c>
      <c r="L30" s="36">
        <v>3</v>
      </c>
      <c r="M30" s="185">
        <v>4</v>
      </c>
      <c r="N30" s="185">
        <v>3</v>
      </c>
      <c r="O30" s="185" t="s">
        <v>108</v>
      </c>
      <c r="P30" s="187" t="s">
        <v>114</v>
      </c>
      <c r="Q30" s="186">
        <f>VLOOKUP(O27,L28:N32,3)</f>
        <v>6</v>
      </c>
      <c r="R30" s="129">
        <v>1</v>
      </c>
      <c r="S30" s="451"/>
      <c r="T30" s="452"/>
      <c r="U30" s="130">
        <f>S30*T30</f>
        <v>0</v>
      </c>
      <c r="W30" s="201">
        <v>1</v>
      </c>
      <c r="X30" s="198">
        <f t="shared" ref="X30:X61" si="0">IF(AND(W30&lt;&gt;"-",$K$29&gt;=24),IF($O$27=6,S30,IF($E$41&gt;0,$E$41/($K$30-$K$31),1000000/($K$30-$K$31))),0)</f>
        <v>5000000</v>
      </c>
      <c r="Y30" s="199">
        <f>IF($O$27=6,T30,Q30)</f>
        <v>6</v>
      </c>
      <c r="Z30" s="210">
        <f>X30*Y30/12</f>
        <v>2500000</v>
      </c>
      <c r="AA30" s="201" t="str">
        <f>IF($O$27=6,R135,IF(ISERROR(W134+1),"-",IF(AND($K$30&gt;0,$K$29&gt;=24,W134+1&lt;=$K$30),W134+1,"-")))</f>
        <v>-</v>
      </c>
      <c r="AB30" s="198">
        <f t="shared" ref="AB30:AB38" si="1">IF(AND(AA30&lt;&gt;"-",$K$29&gt;=24),IF($O$27=6,S135,IF($E$41&gt;0,$E$41/($K$30-$K$31),1000000/($K$30-$K$31))),0)</f>
        <v>0</v>
      </c>
      <c r="AC30" s="202">
        <f>IF($O$27=6,T135,IF(AB30&gt;0,$Q$30+Y134,0))</f>
        <v>0</v>
      </c>
      <c r="AD30" s="210">
        <f t="shared" ref="AD30:AD56" si="2">AB30*AC30/12</f>
        <v>0</v>
      </c>
      <c r="AE30" s="321">
        <f>IF($O$27=6,R30,IF(ISERROR(AE29+1),"-",IF(AND($K$30&gt;0,$K$29&gt;=24,AE29+1&lt;=$K$30),AE29+1,"-")))</f>
        <v>1</v>
      </c>
      <c r="AF30" s="198">
        <f t="shared" ref="AF30:AF61" si="3">IF(AND(AE30&lt;&gt;"-",$K$29&gt;=24),IF($O$27=6,S30,IF($J$41&gt;0,$J$41/($K$30-$K$31),1000000/($K$30-$K$31))),0)</f>
        <v>5000000</v>
      </c>
      <c r="AG30" s="322">
        <f>IF($O$27=6,T30,Y30)</f>
        <v>6</v>
      </c>
      <c r="AH30" s="319">
        <f>AF30*AG30/12</f>
        <v>2500000</v>
      </c>
      <c r="AI30" s="321" t="str">
        <f>IF($O$27=6,R135,IF(ISERROR(AE134+1),"-",IF(AND($K$30&gt;0,$K$29&gt;=24,AE134+1&lt;=$K$30),AE134+1,"-")))</f>
        <v>-</v>
      </c>
      <c r="AJ30" s="198">
        <f t="shared" ref="AJ30:AJ38" si="4">IF(AND(AI30&lt;&gt;"-",$K$29&gt;=24),IF($O$27=6,S135,IF($J$41&gt;0,$J$41/($K$30-$K$31),1000000/($K$30-$K$31))),0)</f>
        <v>0</v>
      </c>
      <c r="AK30" s="322">
        <f>IF($O$27=6,T135,IF(AJ30&gt;0,$Q$30+AG134,0))</f>
        <v>0</v>
      </c>
      <c r="AL30" s="326">
        <f t="shared" ref="AL30:AL88" si="5">AJ30*AK30/12</f>
        <v>0</v>
      </c>
    </row>
    <row r="31" spans="4:38" ht="17.25" customHeight="1" x14ac:dyDescent="0.2">
      <c r="D31" s="103"/>
      <c r="E31" s="420"/>
      <c r="F31" s="480" t="str">
        <f>IF(K28&lt;2,"Bitte geben Sie eine Kreditlaufzeit von mindestens 24 Monaten bzw. 2 Jahren ein.",IF(K31&gt;0,"Der Rückzahlungszeitraum muss ein Vielfaches von "&amp;Q30&amp;" Monaten betragen, d.h. es darf nur eine ganze Anzahl von Raten verwendet werden! Möchten Sie den Zeitraum beibehalten, verwenden Sie bitte ein anderes Tilgungsintervall oder die Berechnung gemäß 'Nicht-Standard'.",IF(AND(K28=18,H28=18),"",IF(OR(K28&gt;18,K29&gt;216),"Die max. Rückzahlungszeit beträgt 18 Jahre!",""))))</f>
        <v/>
      </c>
      <c r="G31" s="481"/>
      <c r="H31" s="481"/>
      <c r="I31" s="165"/>
      <c r="J31" s="97" t="s">
        <v>119</v>
      </c>
      <c r="K31" s="185">
        <f>K30-TRUNC(K30,0)</f>
        <v>0</v>
      </c>
      <c r="L31" s="36">
        <v>4</v>
      </c>
      <c r="M31" s="185">
        <v>6</v>
      </c>
      <c r="N31" s="185">
        <v>2</v>
      </c>
      <c r="O31" s="185" t="s">
        <v>110</v>
      </c>
      <c r="P31" s="186"/>
      <c r="Q31" s="186"/>
      <c r="R31" s="129" t="str">
        <f>IF(OR(S31&gt;0,T31&gt;9),R30+1,"")</f>
        <v/>
      </c>
      <c r="S31" s="451"/>
      <c r="T31" s="452"/>
      <c r="U31" s="130">
        <f t="shared" ref="U31:U88" si="6">S31*T31</f>
        <v>0</v>
      </c>
      <c r="W31" s="201">
        <f>IF($O$27=6,R31,IF(ISERROR(W30+1),"-",IF(AND($K$30&gt;0,$K$29&gt;=24,W30+1&lt;=$K$30),W30+1,"-")))</f>
        <v>2</v>
      </c>
      <c r="X31" s="198">
        <f t="shared" si="0"/>
        <v>5000000</v>
      </c>
      <c r="Y31" s="199">
        <f>IF($O$27=6,T31,IF(X31&gt;0,$Q$30+Y30,0))</f>
        <v>12</v>
      </c>
      <c r="Z31" s="210">
        <f t="shared" ref="Z31:Z89" si="7">X31*Y31/12</f>
        <v>5000000</v>
      </c>
      <c r="AA31" s="201" t="str">
        <f t="shared" ref="AA31:AA38" si="8">IF($O$27=6,R136,IF(ISERROR(AA30+1),"-",IF(AND($K$30&gt;0,$K$29&gt;=24,AA30+1&lt;=$K$30),AA30+1,"-")))</f>
        <v>-</v>
      </c>
      <c r="AB31" s="198">
        <f t="shared" si="1"/>
        <v>0</v>
      </c>
      <c r="AC31" s="202">
        <f t="shared" ref="AC31:AC38" si="9">IF($O$27=6,T136,IF(AB31&gt;0,$Q$30+AC30,0))</f>
        <v>0</v>
      </c>
      <c r="AD31" s="210">
        <f t="shared" si="2"/>
        <v>0</v>
      </c>
      <c r="AE31" s="321">
        <f>IF($O$27=6,R31,IF(ISERROR(AE30+1),"-",IF(AND($K$30&gt;0,$K$29&gt;=24,AE30+1&lt;=$K$30),AE30+1,"-")))</f>
        <v>2</v>
      </c>
      <c r="AF31" s="198">
        <f t="shared" si="3"/>
        <v>5000000</v>
      </c>
      <c r="AG31" s="322">
        <f t="shared" ref="AG31:AG89" si="10">IF($O$27=6,T31,Y31)</f>
        <v>12</v>
      </c>
      <c r="AH31" s="319">
        <f>AF31*AG31/12</f>
        <v>5000000</v>
      </c>
      <c r="AI31" s="321" t="str">
        <f t="shared" ref="AI31:AI38" si="11">IF($O$27=6,R136,IF(ISERROR(AI30+1),"-",IF(AND($K$30&gt;0,$K$29&gt;=24,AI30+1&lt;=$K$30),AI30+1,"-")))</f>
        <v>-</v>
      </c>
      <c r="AJ31" s="198">
        <f t="shared" si="4"/>
        <v>0</v>
      </c>
      <c r="AK31" s="322">
        <f>IF($O$27=6,AK30,IF(AJ31&gt;0,$Q$30+AK30,0))</f>
        <v>0</v>
      </c>
      <c r="AL31" s="326">
        <f t="shared" si="5"/>
        <v>0</v>
      </c>
    </row>
    <row r="32" spans="4:38" ht="17.25" customHeight="1" x14ac:dyDescent="0.2">
      <c r="D32" s="422"/>
      <c r="E32" s="422"/>
      <c r="F32" s="481"/>
      <c r="G32" s="481"/>
      <c r="H32" s="481"/>
      <c r="I32" s="97"/>
      <c r="J32" s="105"/>
      <c r="K32" s="163">
        <f>IF(K31&gt;0,TRUNC(K30,0)*Q30,H28)</f>
        <v>10</v>
      </c>
      <c r="L32" s="36">
        <v>5</v>
      </c>
      <c r="M32" s="185">
        <v>12</v>
      </c>
      <c r="N32" s="185">
        <v>1</v>
      </c>
      <c r="O32" s="185" t="s">
        <v>111</v>
      </c>
      <c r="P32" s="186"/>
      <c r="Q32" s="186"/>
      <c r="R32" s="129" t="str">
        <f t="shared" ref="R32:R95" si="12">IF(OR(S32&gt;0,T32&gt;9),R31+1,"")</f>
        <v/>
      </c>
      <c r="S32" s="451"/>
      <c r="T32" s="452"/>
      <c r="U32" s="130">
        <f t="shared" si="6"/>
        <v>0</v>
      </c>
      <c r="W32" s="201">
        <f t="shared" ref="W32:W90" si="13">IF($O$27=6,R32,IF(ISERROR(W31+1),"-",IF(AND($K$30&gt;0,$K$29&gt;=24,W31+1&lt;=$K$30),W31+1,"-")))</f>
        <v>3</v>
      </c>
      <c r="X32" s="198">
        <f t="shared" si="0"/>
        <v>5000000</v>
      </c>
      <c r="Y32" s="199">
        <f t="shared" ref="Y32:Y90" si="14">IF($O$27=6,T32,IF(X32&gt;0,$Q$30+Y31,0))</f>
        <v>18</v>
      </c>
      <c r="Z32" s="210">
        <f t="shared" si="7"/>
        <v>7500000</v>
      </c>
      <c r="AA32" s="201" t="str">
        <f t="shared" si="8"/>
        <v>-</v>
      </c>
      <c r="AB32" s="198">
        <f t="shared" si="1"/>
        <v>0</v>
      </c>
      <c r="AC32" s="202">
        <f t="shared" si="9"/>
        <v>0</v>
      </c>
      <c r="AD32" s="210">
        <f t="shared" si="2"/>
        <v>0</v>
      </c>
      <c r="AE32" s="321">
        <f t="shared" ref="AE32:AE90" si="15">IF($O$27=6,R32,IF(ISERROR(AE31+1),"-",IF(AND($K$30&gt;0,$K$29&gt;=24,AE31+1&lt;=$K$30),AE31+1,"-")))</f>
        <v>3</v>
      </c>
      <c r="AF32" s="198">
        <f t="shared" si="3"/>
        <v>5000000</v>
      </c>
      <c r="AG32" s="322">
        <f t="shared" si="10"/>
        <v>18</v>
      </c>
      <c r="AH32" s="319">
        <f>AF32*AG32/12</f>
        <v>7500000</v>
      </c>
      <c r="AI32" s="321" t="str">
        <f t="shared" si="11"/>
        <v>-</v>
      </c>
      <c r="AJ32" s="198">
        <f t="shared" si="4"/>
        <v>0</v>
      </c>
      <c r="AK32" s="322">
        <f t="shared" ref="AK32:AK93" si="16">IF($O$27=6,AK31,IF(AJ32&gt;0,$Q$30+AK31,0))</f>
        <v>0</v>
      </c>
      <c r="AL32" s="326">
        <f t="shared" si="5"/>
        <v>0</v>
      </c>
    </row>
    <row r="33" spans="1:38" ht="17.25" customHeight="1" x14ac:dyDescent="0.2">
      <c r="D33" s="422"/>
      <c r="E33" s="422"/>
      <c r="F33" s="481"/>
      <c r="G33" s="481"/>
      <c r="H33" s="481"/>
      <c r="I33" s="97"/>
      <c r="J33" s="105" t="s">
        <v>177</v>
      </c>
      <c r="K33" s="397">
        <f>H27/2</f>
        <v>6</v>
      </c>
      <c r="L33" s="36">
        <v>6</v>
      </c>
      <c r="M33" s="185">
        <v>0</v>
      </c>
      <c r="N33" s="185">
        <v>0</v>
      </c>
      <c r="O33" s="185" t="s">
        <v>79</v>
      </c>
      <c r="P33" s="186"/>
      <c r="Q33" s="186"/>
      <c r="R33" s="129" t="str">
        <f t="shared" si="12"/>
        <v/>
      </c>
      <c r="S33" s="451"/>
      <c r="T33" s="452"/>
      <c r="U33" s="130">
        <f t="shared" si="6"/>
        <v>0</v>
      </c>
      <c r="W33" s="201">
        <f t="shared" si="13"/>
        <v>4</v>
      </c>
      <c r="X33" s="198">
        <f t="shared" si="0"/>
        <v>5000000</v>
      </c>
      <c r="Y33" s="199">
        <f t="shared" si="14"/>
        <v>24</v>
      </c>
      <c r="Z33" s="210">
        <f>X33*Y33/12</f>
        <v>10000000</v>
      </c>
      <c r="AA33" s="201" t="str">
        <f t="shared" si="8"/>
        <v>-</v>
      </c>
      <c r="AB33" s="198">
        <f t="shared" si="1"/>
        <v>0</v>
      </c>
      <c r="AC33" s="202">
        <f t="shared" si="9"/>
        <v>0</v>
      </c>
      <c r="AD33" s="210">
        <f t="shared" si="2"/>
        <v>0</v>
      </c>
      <c r="AE33" s="321">
        <f t="shared" si="15"/>
        <v>4</v>
      </c>
      <c r="AF33" s="198">
        <f t="shared" si="3"/>
        <v>5000000</v>
      </c>
      <c r="AG33" s="322">
        <f t="shared" si="10"/>
        <v>24</v>
      </c>
      <c r="AH33" s="319">
        <f>AF33*AG33/12</f>
        <v>10000000</v>
      </c>
      <c r="AI33" s="321" t="str">
        <f t="shared" si="11"/>
        <v>-</v>
      </c>
      <c r="AJ33" s="198">
        <f t="shared" si="4"/>
        <v>0</v>
      </c>
      <c r="AK33" s="322">
        <f t="shared" si="16"/>
        <v>0</v>
      </c>
      <c r="AL33" s="326">
        <f t="shared" si="5"/>
        <v>0</v>
      </c>
    </row>
    <row r="34" spans="1:38" ht="17.25" customHeight="1" x14ac:dyDescent="0.2">
      <c r="D34" s="422"/>
      <c r="E34" s="422"/>
      <c r="F34" s="481"/>
      <c r="G34" s="481"/>
      <c r="H34" s="481"/>
      <c r="I34" s="105"/>
      <c r="J34" s="105" t="s">
        <v>176</v>
      </c>
      <c r="K34" s="158">
        <f>K29</f>
        <v>120</v>
      </c>
      <c r="M34" s="158" t="s">
        <v>53</v>
      </c>
      <c r="O34" s="159">
        <f>IF(O27=1,H27/24+K28,AC134)</f>
        <v>10.5</v>
      </c>
      <c r="R34" s="129" t="str">
        <f t="shared" si="12"/>
        <v/>
      </c>
      <c r="S34" s="451"/>
      <c r="T34" s="452"/>
      <c r="U34" s="130">
        <f t="shared" si="6"/>
        <v>0</v>
      </c>
      <c r="W34" s="201">
        <f t="shared" si="13"/>
        <v>5</v>
      </c>
      <c r="X34" s="198">
        <f t="shared" si="0"/>
        <v>5000000</v>
      </c>
      <c r="Y34" s="199">
        <f t="shared" si="14"/>
        <v>30</v>
      </c>
      <c r="Z34" s="210">
        <f t="shared" si="7"/>
        <v>12500000</v>
      </c>
      <c r="AA34" s="201" t="str">
        <f t="shared" si="8"/>
        <v>-</v>
      </c>
      <c r="AB34" s="198">
        <f t="shared" si="1"/>
        <v>0</v>
      </c>
      <c r="AC34" s="202">
        <f t="shared" si="9"/>
        <v>0</v>
      </c>
      <c r="AD34" s="210">
        <f t="shared" si="2"/>
        <v>0</v>
      </c>
      <c r="AE34" s="321">
        <f t="shared" si="15"/>
        <v>5</v>
      </c>
      <c r="AF34" s="198">
        <f t="shared" si="3"/>
        <v>5000000</v>
      </c>
      <c r="AG34" s="322">
        <f t="shared" si="10"/>
        <v>30</v>
      </c>
      <c r="AH34" s="319">
        <f t="shared" ref="AH34:AH92" si="17">AF34*AG34/12</f>
        <v>12500000</v>
      </c>
      <c r="AI34" s="321" t="str">
        <f t="shared" si="11"/>
        <v>-</v>
      </c>
      <c r="AJ34" s="198">
        <f t="shared" si="4"/>
        <v>0</v>
      </c>
      <c r="AK34" s="322">
        <f t="shared" si="16"/>
        <v>0</v>
      </c>
      <c r="AL34" s="326">
        <f t="shared" si="5"/>
        <v>0</v>
      </c>
    </row>
    <row r="35" spans="1:38" ht="17.25" customHeight="1" x14ac:dyDescent="0.2">
      <c r="E35" s="183"/>
      <c r="I35" s="105"/>
      <c r="J35" s="398" t="s">
        <v>178</v>
      </c>
      <c r="K35" s="389">
        <f>SUM(K33:K34)</f>
        <v>126</v>
      </c>
      <c r="R35" s="129" t="str">
        <f t="shared" si="12"/>
        <v/>
      </c>
      <c r="S35" s="451"/>
      <c r="T35" s="452"/>
      <c r="U35" s="130">
        <f t="shared" si="6"/>
        <v>0</v>
      </c>
      <c r="W35" s="201">
        <f t="shared" si="13"/>
        <v>6</v>
      </c>
      <c r="X35" s="198">
        <f t="shared" si="0"/>
        <v>5000000</v>
      </c>
      <c r="Y35" s="199">
        <f t="shared" si="14"/>
        <v>36</v>
      </c>
      <c r="Z35" s="210">
        <f t="shared" si="7"/>
        <v>15000000</v>
      </c>
      <c r="AA35" s="201" t="str">
        <f t="shared" si="8"/>
        <v>-</v>
      </c>
      <c r="AB35" s="198">
        <f t="shared" si="1"/>
        <v>0</v>
      </c>
      <c r="AC35" s="202">
        <f t="shared" si="9"/>
        <v>0</v>
      </c>
      <c r="AD35" s="210">
        <f t="shared" si="2"/>
        <v>0</v>
      </c>
      <c r="AE35" s="321">
        <f t="shared" si="15"/>
        <v>6</v>
      </c>
      <c r="AF35" s="198">
        <f t="shared" si="3"/>
        <v>5000000</v>
      </c>
      <c r="AG35" s="322">
        <f t="shared" si="10"/>
        <v>36</v>
      </c>
      <c r="AH35" s="319">
        <f t="shared" si="17"/>
        <v>15000000</v>
      </c>
      <c r="AI35" s="321" t="str">
        <f t="shared" si="11"/>
        <v>-</v>
      </c>
      <c r="AJ35" s="198">
        <f t="shared" si="4"/>
        <v>0</v>
      </c>
      <c r="AK35" s="322">
        <f t="shared" si="16"/>
        <v>0</v>
      </c>
      <c r="AL35" s="326">
        <f t="shared" si="5"/>
        <v>0</v>
      </c>
    </row>
    <row r="36" spans="1:38" ht="17.25" customHeight="1" x14ac:dyDescent="0.2">
      <c r="B36" s="128"/>
      <c r="D36" s="447"/>
      <c r="E36" s="100"/>
      <c r="F36" s="97"/>
      <c r="G36" s="97"/>
      <c r="H36" s="97"/>
      <c r="I36" s="97"/>
      <c r="K36" s="158">
        <f>K34/12</f>
        <v>10</v>
      </c>
      <c r="Q36" s="168" t="s">
        <v>88</v>
      </c>
      <c r="R36" s="129" t="str">
        <f t="shared" si="12"/>
        <v/>
      </c>
      <c r="S36" s="451"/>
      <c r="T36" s="452"/>
      <c r="U36" s="130">
        <f t="shared" si="6"/>
        <v>0</v>
      </c>
      <c r="W36" s="201">
        <f t="shared" si="13"/>
        <v>7</v>
      </c>
      <c r="X36" s="198">
        <f t="shared" si="0"/>
        <v>5000000</v>
      </c>
      <c r="Y36" s="199">
        <f t="shared" si="14"/>
        <v>42</v>
      </c>
      <c r="Z36" s="210">
        <f t="shared" si="7"/>
        <v>17500000</v>
      </c>
      <c r="AA36" s="201" t="str">
        <f t="shared" si="8"/>
        <v>-</v>
      </c>
      <c r="AB36" s="198">
        <f t="shared" si="1"/>
        <v>0</v>
      </c>
      <c r="AC36" s="202">
        <f t="shared" si="9"/>
        <v>0</v>
      </c>
      <c r="AD36" s="210">
        <f t="shared" si="2"/>
        <v>0</v>
      </c>
      <c r="AE36" s="321">
        <f t="shared" si="15"/>
        <v>7</v>
      </c>
      <c r="AF36" s="198">
        <f t="shared" si="3"/>
        <v>5000000</v>
      </c>
      <c r="AG36" s="322">
        <f t="shared" si="10"/>
        <v>42</v>
      </c>
      <c r="AH36" s="319">
        <f t="shared" si="17"/>
        <v>17500000</v>
      </c>
      <c r="AI36" s="321" t="str">
        <f t="shared" si="11"/>
        <v>-</v>
      </c>
      <c r="AJ36" s="198">
        <f t="shared" si="4"/>
        <v>0</v>
      </c>
      <c r="AK36" s="322">
        <f t="shared" si="16"/>
        <v>0</v>
      </c>
      <c r="AL36" s="326">
        <f t="shared" si="5"/>
        <v>0</v>
      </c>
    </row>
    <row r="37" spans="1:38" ht="17.25" customHeight="1" x14ac:dyDescent="0.2">
      <c r="B37" s="131"/>
      <c r="D37" s="447" t="s">
        <v>3</v>
      </c>
      <c r="E37" s="132"/>
      <c r="F37" s="99"/>
      <c r="G37" s="97"/>
      <c r="H37" s="97"/>
      <c r="J37" s="105"/>
      <c r="K37" s="158"/>
      <c r="R37" s="129" t="str">
        <f t="shared" si="12"/>
        <v/>
      </c>
      <c r="S37" s="451"/>
      <c r="T37" s="452"/>
      <c r="U37" s="130">
        <f t="shared" si="6"/>
        <v>0</v>
      </c>
      <c r="W37" s="201">
        <f t="shared" si="13"/>
        <v>8</v>
      </c>
      <c r="X37" s="198">
        <f t="shared" si="0"/>
        <v>5000000</v>
      </c>
      <c r="Y37" s="199">
        <f>IF($O$27=6,T37,IF(X37&gt;0,$Q$30+Y36,0))</f>
        <v>48</v>
      </c>
      <c r="Z37" s="210">
        <f t="shared" si="7"/>
        <v>20000000</v>
      </c>
      <c r="AA37" s="201" t="str">
        <f t="shared" si="8"/>
        <v>-</v>
      </c>
      <c r="AB37" s="198">
        <f t="shared" si="1"/>
        <v>0</v>
      </c>
      <c r="AC37" s="202">
        <f t="shared" si="9"/>
        <v>0</v>
      </c>
      <c r="AD37" s="210">
        <f t="shared" si="2"/>
        <v>0</v>
      </c>
      <c r="AE37" s="321">
        <f t="shared" si="15"/>
        <v>8</v>
      </c>
      <c r="AF37" s="198">
        <f t="shared" si="3"/>
        <v>5000000</v>
      </c>
      <c r="AG37" s="322">
        <f t="shared" si="10"/>
        <v>48</v>
      </c>
      <c r="AH37" s="319">
        <f t="shared" si="17"/>
        <v>20000000</v>
      </c>
      <c r="AI37" s="321" t="str">
        <f t="shared" si="11"/>
        <v>-</v>
      </c>
      <c r="AJ37" s="198">
        <f t="shared" si="4"/>
        <v>0</v>
      </c>
      <c r="AK37" s="322">
        <f t="shared" si="16"/>
        <v>0</v>
      </c>
      <c r="AL37" s="326">
        <f t="shared" si="5"/>
        <v>0</v>
      </c>
    </row>
    <row r="38" spans="1:38" ht="17.25" customHeight="1" x14ac:dyDescent="0.2">
      <c r="B38" s="128"/>
      <c r="D38" s="117"/>
      <c r="E38" s="165"/>
      <c r="F38" s="97"/>
      <c r="G38" s="104"/>
      <c r="H38" s="106"/>
      <c r="J38" s="97"/>
      <c r="K38" s="158"/>
      <c r="R38" s="129" t="str">
        <f t="shared" si="12"/>
        <v/>
      </c>
      <c r="S38" s="451"/>
      <c r="T38" s="452"/>
      <c r="U38" s="130">
        <f t="shared" si="6"/>
        <v>0</v>
      </c>
      <c r="W38" s="201">
        <f t="shared" si="13"/>
        <v>9</v>
      </c>
      <c r="X38" s="198">
        <f t="shared" si="0"/>
        <v>5000000</v>
      </c>
      <c r="Y38" s="199">
        <f t="shared" si="14"/>
        <v>54</v>
      </c>
      <c r="Z38" s="210">
        <f t="shared" si="7"/>
        <v>22500000</v>
      </c>
      <c r="AA38" s="201" t="str">
        <f t="shared" si="8"/>
        <v>-</v>
      </c>
      <c r="AB38" s="198">
        <f t="shared" si="1"/>
        <v>0</v>
      </c>
      <c r="AC38" s="202">
        <f t="shared" si="9"/>
        <v>0</v>
      </c>
      <c r="AD38" s="210">
        <f t="shared" si="2"/>
        <v>0</v>
      </c>
      <c r="AE38" s="321">
        <f t="shared" si="15"/>
        <v>9</v>
      </c>
      <c r="AF38" s="198">
        <f t="shared" si="3"/>
        <v>5000000</v>
      </c>
      <c r="AG38" s="322">
        <f t="shared" si="10"/>
        <v>54</v>
      </c>
      <c r="AH38" s="319">
        <f t="shared" si="17"/>
        <v>22500000</v>
      </c>
      <c r="AI38" s="321" t="str">
        <f t="shared" si="11"/>
        <v>-</v>
      </c>
      <c r="AJ38" s="198">
        <f t="shared" si="4"/>
        <v>0</v>
      </c>
      <c r="AK38" s="322">
        <f t="shared" si="16"/>
        <v>0</v>
      </c>
      <c r="AL38" s="326">
        <f t="shared" si="5"/>
        <v>0</v>
      </c>
    </row>
    <row r="39" spans="1:38" ht="17.25" customHeight="1" x14ac:dyDescent="0.2">
      <c r="A39" s="128"/>
      <c r="B39" s="128"/>
      <c r="D39" s="524" t="s">
        <v>87</v>
      </c>
      <c r="E39" s="525"/>
      <c r="F39" s="484" t="str">
        <f>"mögliche Projektkategorien in Länderkategorie "&amp;E42&amp;":"</f>
        <v>mögliche Projektkategorien in Länderkategorie 3:</v>
      </c>
      <c r="G39" s="486"/>
      <c r="H39" s="486"/>
      <c r="J39" s="97"/>
      <c r="K39" s="158"/>
      <c r="R39" s="129" t="str">
        <f t="shared" si="12"/>
        <v/>
      </c>
      <c r="S39" s="451"/>
      <c r="T39" s="452"/>
      <c r="U39" s="130">
        <f t="shared" si="6"/>
        <v>0</v>
      </c>
      <c r="W39" s="201" t="str">
        <f>IF($O$27=6,R39,IF(ISERROR(#REF!+1),"-",IF(AND($K$30&gt;0,$K$29&gt;=24,#REF!+1&lt;=$K$30),#REF!+1,"-")))</f>
        <v>-</v>
      </c>
      <c r="X39" s="198">
        <f t="shared" si="0"/>
        <v>0</v>
      </c>
      <c r="Y39" s="199">
        <f>IF($O$27=6,T39,IF(X39&gt;0,$Q$30+#REF!,0))</f>
        <v>0</v>
      </c>
      <c r="Z39" s="210">
        <f t="shared" si="7"/>
        <v>0</v>
      </c>
      <c r="AA39" s="201" t="str">
        <f>IF($O$27=6,R145,IF(ISERROR(#REF!+1),"-",IF(AND($K$30&gt;0,$K$29&gt;=24,#REF!+1&lt;=$K$30),#REF!+1,"-")))</f>
        <v>-</v>
      </c>
      <c r="AB39" s="198">
        <f t="shared" ref="AB39:AB50" si="18">IF(AND(AA39&lt;&gt;"-",$K$29&gt;=24),IF($O$27=6,S145,IF($E$41&gt;0,$E$41/($K$30-$K$31),1000000/($K$30-$K$31))),0)</f>
        <v>0</v>
      </c>
      <c r="AC39" s="202">
        <f>IF($O$27=6,T145,IF(AB39&gt;0,$Q$30+#REF!,0))</f>
        <v>0</v>
      </c>
      <c r="AD39" s="210">
        <f t="shared" si="2"/>
        <v>0</v>
      </c>
      <c r="AE39" s="321" t="str">
        <f>IF($O$27=6,R39,IF(ISERROR(#REF!+1),"-",IF(AND($K$30&gt;0,$K$29&gt;=24,#REF!+1&lt;=$K$30),#REF!+1,"-")))</f>
        <v>-</v>
      </c>
      <c r="AF39" s="198">
        <f t="shared" si="3"/>
        <v>0</v>
      </c>
      <c r="AG39" s="322">
        <f t="shared" si="10"/>
        <v>0</v>
      </c>
      <c r="AH39" s="319">
        <f t="shared" si="17"/>
        <v>0</v>
      </c>
      <c r="AI39" s="321" t="str">
        <f>IF($O$27=6,R145,IF(ISERROR(#REF!+1),"-",IF(AND($K$30&gt;0,$K$29&gt;=24,#REF!+1&lt;=$K$30),#REF!+1,"-")))</f>
        <v>-</v>
      </c>
      <c r="AJ39" s="198">
        <f t="shared" ref="AJ39:AJ50" si="19">IF(AND(AI39&lt;&gt;"-",$K$29&gt;=24),IF($O$27=6,S145,IF($J$41&gt;0,$J$41/($K$30-$K$31),1000000/($K$30-$K$31))),0)</f>
        <v>0</v>
      </c>
      <c r="AK39" s="322">
        <f t="shared" si="16"/>
        <v>0</v>
      </c>
      <c r="AL39" s="326">
        <f t="shared" si="5"/>
        <v>0</v>
      </c>
    </row>
    <row r="40" spans="1:38" ht="17.25" customHeight="1" x14ac:dyDescent="0.2">
      <c r="A40" s="128"/>
      <c r="B40" s="128"/>
      <c r="D40" s="562"/>
      <c r="E40" s="563"/>
      <c r="F40" s="485"/>
      <c r="G40" s="486"/>
      <c r="H40" s="486"/>
      <c r="J40" s="97" t="s">
        <v>150</v>
      </c>
      <c r="K40" s="158"/>
      <c r="L40" s="158" t="b">
        <v>0</v>
      </c>
      <c r="M40" s="158"/>
      <c r="N40" s="158"/>
      <c r="O40" s="158"/>
      <c r="R40" s="129" t="str">
        <f t="shared" si="12"/>
        <v/>
      </c>
      <c r="S40" s="451"/>
      <c r="T40" s="452"/>
      <c r="U40" s="130">
        <f t="shared" si="6"/>
        <v>0</v>
      </c>
      <c r="W40" s="201" t="str">
        <f t="shared" si="13"/>
        <v>-</v>
      </c>
      <c r="X40" s="198">
        <f t="shared" si="0"/>
        <v>0</v>
      </c>
      <c r="Y40" s="199">
        <f t="shared" si="14"/>
        <v>0</v>
      </c>
      <c r="Z40" s="210">
        <f t="shared" si="7"/>
        <v>0</v>
      </c>
      <c r="AA40" s="201" t="str">
        <f t="shared" ref="AA40:AA50" si="20">IF($O$27=6,R146,IF(ISERROR(AA39+1),"-",IF(AND($K$30&gt;0,$K$29&gt;=24,AA39+1&lt;=$K$30),AA39+1,"-")))</f>
        <v>-</v>
      </c>
      <c r="AB40" s="198">
        <f t="shared" si="18"/>
        <v>0</v>
      </c>
      <c r="AC40" s="202">
        <f t="shared" ref="AC40:AC50" si="21">IF($O$27=6,T146,IF(AB40&gt;0,$Q$30+AC39,0))</f>
        <v>0</v>
      </c>
      <c r="AD40" s="210">
        <f t="shared" si="2"/>
        <v>0</v>
      </c>
      <c r="AE40" s="321" t="str">
        <f t="shared" si="15"/>
        <v>-</v>
      </c>
      <c r="AF40" s="198">
        <f t="shared" si="3"/>
        <v>0</v>
      </c>
      <c r="AG40" s="322">
        <f t="shared" si="10"/>
        <v>0</v>
      </c>
      <c r="AH40" s="319">
        <f t="shared" si="17"/>
        <v>0</v>
      </c>
      <c r="AI40" s="321" t="str">
        <f t="shared" ref="AI40:AI50" si="22">IF($O$27=6,R146,IF(ISERROR(AI39+1),"-",IF(AND($K$30&gt;0,$K$29&gt;=24,AI39+1&lt;=$K$30),AI39+1,"-")))</f>
        <v>-</v>
      </c>
      <c r="AJ40" s="198">
        <f t="shared" si="19"/>
        <v>0</v>
      </c>
      <c r="AK40" s="322">
        <f t="shared" si="16"/>
        <v>0</v>
      </c>
      <c r="AL40" s="326">
        <f t="shared" si="5"/>
        <v>0</v>
      </c>
    </row>
    <row r="41" spans="1:38" ht="17.25" customHeight="1" thickBot="1" x14ac:dyDescent="0.25">
      <c r="B41" s="128"/>
      <c r="D41" s="457" t="s">
        <v>5</v>
      </c>
      <c r="E41" s="458">
        <v>100000000</v>
      </c>
      <c r="F41" s="133" t="str">
        <f>IF($E$42=7,O73,IF($E$42=6,M73,IF($E$42=5,L73,K73)))</f>
        <v>SOV+</v>
      </c>
      <c r="G41" s="111"/>
      <c r="H41" s="119"/>
      <c r="J41" s="477">
        <f>E41</f>
        <v>100000000</v>
      </c>
      <c r="K41" s="474"/>
      <c r="L41" s="158" t="s">
        <v>94</v>
      </c>
      <c r="M41" s="158"/>
      <c r="N41" s="158"/>
      <c r="O41" s="158"/>
      <c r="R41" s="129" t="str">
        <f t="shared" si="12"/>
        <v/>
      </c>
      <c r="S41" s="451"/>
      <c r="T41" s="452"/>
      <c r="U41" s="130">
        <f t="shared" si="6"/>
        <v>0</v>
      </c>
      <c r="W41" s="201" t="str">
        <f t="shared" si="13"/>
        <v>-</v>
      </c>
      <c r="X41" s="198">
        <f t="shared" si="0"/>
        <v>0</v>
      </c>
      <c r="Y41" s="199">
        <f t="shared" si="14"/>
        <v>0</v>
      </c>
      <c r="Z41" s="210">
        <f t="shared" si="7"/>
        <v>0</v>
      </c>
      <c r="AA41" s="201" t="str">
        <f t="shared" si="20"/>
        <v>-</v>
      </c>
      <c r="AB41" s="198">
        <f t="shared" si="18"/>
        <v>0</v>
      </c>
      <c r="AC41" s="202">
        <f t="shared" si="21"/>
        <v>0</v>
      </c>
      <c r="AD41" s="210">
        <f t="shared" si="2"/>
        <v>0</v>
      </c>
      <c r="AE41" s="321" t="str">
        <f t="shared" si="15"/>
        <v>-</v>
      </c>
      <c r="AF41" s="198">
        <f t="shared" si="3"/>
        <v>0</v>
      </c>
      <c r="AG41" s="322">
        <f t="shared" si="10"/>
        <v>0</v>
      </c>
      <c r="AH41" s="319">
        <f t="shared" si="17"/>
        <v>0</v>
      </c>
      <c r="AI41" s="321" t="str">
        <f t="shared" si="22"/>
        <v>-</v>
      </c>
      <c r="AJ41" s="198">
        <f t="shared" si="19"/>
        <v>0</v>
      </c>
      <c r="AK41" s="322">
        <f t="shared" si="16"/>
        <v>0</v>
      </c>
      <c r="AL41" s="326">
        <f t="shared" si="5"/>
        <v>0</v>
      </c>
    </row>
    <row r="42" spans="1:38" ht="17.25" customHeight="1" x14ac:dyDescent="0.2">
      <c r="B42" s="128"/>
      <c r="D42" s="456" t="s">
        <v>0</v>
      </c>
      <c r="E42" s="453">
        <v>3</v>
      </c>
      <c r="F42" s="133" t="str">
        <f>IF($E$42=7,$O$75,IF($E$42=6,$M$75,IF($E$42=5,$L$75,$K$75)))</f>
        <v>SOV</v>
      </c>
      <c r="G42" s="111"/>
      <c r="H42" s="372"/>
      <c r="J42" s="477"/>
      <c r="K42" s="474"/>
      <c r="L42" s="386" t="s">
        <v>166</v>
      </c>
      <c r="M42" s="387"/>
      <c r="N42" s="386" t="s">
        <v>167</v>
      </c>
      <c r="P42" s="386" t="s">
        <v>168</v>
      </c>
      <c r="R42" s="129" t="str">
        <f t="shared" si="12"/>
        <v/>
      </c>
      <c r="S42" s="451"/>
      <c r="T42" s="452"/>
      <c r="U42" s="130">
        <f t="shared" si="6"/>
        <v>0</v>
      </c>
      <c r="W42" s="201" t="str">
        <f t="shared" si="13"/>
        <v>-</v>
      </c>
      <c r="X42" s="198">
        <f t="shared" si="0"/>
        <v>0</v>
      </c>
      <c r="Y42" s="199">
        <f t="shared" si="14"/>
        <v>0</v>
      </c>
      <c r="Z42" s="210">
        <f t="shared" si="7"/>
        <v>0</v>
      </c>
      <c r="AA42" s="201" t="str">
        <f t="shared" si="20"/>
        <v>-</v>
      </c>
      <c r="AB42" s="198">
        <f t="shared" si="18"/>
        <v>0</v>
      </c>
      <c r="AC42" s="202">
        <f t="shared" si="21"/>
        <v>0</v>
      </c>
      <c r="AD42" s="210">
        <f t="shared" si="2"/>
        <v>0</v>
      </c>
      <c r="AE42" s="321" t="str">
        <f t="shared" si="15"/>
        <v>-</v>
      </c>
      <c r="AF42" s="198">
        <f t="shared" si="3"/>
        <v>0</v>
      </c>
      <c r="AG42" s="322">
        <f t="shared" si="10"/>
        <v>0</v>
      </c>
      <c r="AH42" s="319">
        <f t="shared" si="17"/>
        <v>0</v>
      </c>
      <c r="AI42" s="321" t="str">
        <f t="shared" si="22"/>
        <v>-</v>
      </c>
      <c r="AJ42" s="198">
        <f t="shared" si="19"/>
        <v>0</v>
      </c>
      <c r="AK42" s="322">
        <f t="shared" si="16"/>
        <v>0</v>
      </c>
      <c r="AL42" s="326">
        <f t="shared" si="5"/>
        <v>0</v>
      </c>
    </row>
    <row r="43" spans="1:38" ht="17.25" customHeight="1" x14ac:dyDescent="0.2">
      <c r="B43" s="128"/>
      <c r="D43" s="134" t="s">
        <v>208</v>
      </c>
      <c r="E43" s="454" t="s">
        <v>205</v>
      </c>
      <c r="F43" s="133" t="str">
        <f>IF($E$42=7,O74,IF($E$42=6,M74,IF($E$42=5,L74,K74)))</f>
        <v>SOV-</v>
      </c>
      <c r="G43" s="373"/>
      <c r="H43" s="374"/>
      <c r="J43" s="191" t="s">
        <v>164</v>
      </c>
      <c r="K43" s="388">
        <f>E45</f>
        <v>6.8900000000000003E-2</v>
      </c>
      <c r="L43" s="384">
        <f>IF($L$40=TRUE,K43/(1-K43),K43)</f>
        <v>6.8900000000000003E-2</v>
      </c>
      <c r="M43" s="389">
        <f>ROUND($E$41*L43,2)</f>
        <v>6890000</v>
      </c>
      <c r="N43" s="382">
        <f>K43*(1+$L$52)*(1+$L$54)</f>
        <v>6.8900000000000003E-2</v>
      </c>
      <c r="O43" s="159">
        <f>$E$41*N43</f>
        <v>6890000</v>
      </c>
      <c r="P43" s="382">
        <f>IF($L$40=TRUE,N43/(1-N43),N43)</f>
        <v>6.8900000000000003E-2</v>
      </c>
      <c r="Q43" s="159">
        <f>ROUND($E$41*P43,2)</f>
        <v>6890000</v>
      </c>
      <c r="R43" s="129" t="str">
        <f t="shared" si="12"/>
        <v/>
      </c>
      <c r="S43" s="451"/>
      <c r="T43" s="452"/>
      <c r="U43" s="130">
        <f t="shared" si="6"/>
        <v>0</v>
      </c>
      <c r="W43" s="201" t="str">
        <f t="shared" si="13"/>
        <v>-</v>
      </c>
      <c r="X43" s="198">
        <f t="shared" si="0"/>
        <v>0</v>
      </c>
      <c r="Y43" s="199">
        <f t="shared" si="14"/>
        <v>0</v>
      </c>
      <c r="Z43" s="210">
        <f t="shared" si="7"/>
        <v>0</v>
      </c>
      <c r="AA43" s="201" t="str">
        <f t="shared" si="20"/>
        <v>-</v>
      </c>
      <c r="AB43" s="198">
        <f t="shared" si="18"/>
        <v>0</v>
      </c>
      <c r="AC43" s="202">
        <f t="shared" si="21"/>
        <v>0</v>
      </c>
      <c r="AD43" s="210">
        <f t="shared" si="2"/>
        <v>0</v>
      </c>
      <c r="AE43" s="321" t="str">
        <f t="shared" si="15"/>
        <v>-</v>
      </c>
      <c r="AF43" s="198">
        <f t="shared" si="3"/>
        <v>0</v>
      </c>
      <c r="AG43" s="322">
        <f t="shared" si="10"/>
        <v>0</v>
      </c>
      <c r="AH43" s="319">
        <f t="shared" si="17"/>
        <v>0</v>
      </c>
      <c r="AI43" s="321" t="str">
        <f t="shared" si="22"/>
        <v>-</v>
      </c>
      <c r="AJ43" s="198">
        <f t="shared" si="19"/>
        <v>0</v>
      </c>
      <c r="AK43" s="322">
        <f t="shared" si="16"/>
        <v>0</v>
      </c>
      <c r="AL43" s="326">
        <f t="shared" si="5"/>
        <v>0</v>
      </c>
    </row>
    <row r="44" spans="1:38" ht="17.25" customHeight="1" thickBot="1" x14ac:dyDescent="0.25">
      <c r="B44" s="128"/>
      <c r="D44" s="110" t="s">
        <v>81</v>
      </c>
      <c r="E44" s="147">
        <f>IF(H30&gt;0,H30,0)</f>
        <v>10.5</v>
      </c>
      <c r="F44" s="133" t="str">
        <f>IF($E$42=7,O76,IF($E$42=6,M76,IF($E$42=5,L76,K76)))</f>
        <v>PC0</v>
      </c>
      <c r="G44" s="111"/>
      <c r="H44" s="376"/>
      <c r="J44" s="191" t="s">
        <v>165</v>
      </c>
      <c r="K44" s="388">
        <f>E56</f>
        <v>6.8900000000000003E-2</v>
      </c>
      <c r="L44" s="385">
        <f>IF($L$40=TRUE,K44/(1-K44),K44)</f>
        <v>6.8900000000000003E-2</v>
      </c>
      <c r="M44" s="389">
        <f>ROUND($E$41*L44,2)</f>
        <v>6890000</v>
      </c>
      <c r="N44" s="383">
        <f>K44*(1+$L$52)*(1+$L$54)</f>
        <v>6.8900000000000003E-2</v>
      </c>
      <c r="O44" s="159">
        <f>$E$41*N44</f>
        <v>6890000</v>
      </c>
      <c r="P44" s="383">
        <f>IF($L$40=TRUE,N44/(1-N44),N44)</f>
        <v>6.8900000000000003E-2</v>
      </c>
      <c r="Q44" s="159">
        <f>ROUND($E$41*P44,2)</f>
        <v>6890000</v>
      </c>
      <c r="R44" s="129" t="str">
        <f t="shared" si="12"/>
        <v/>
      </c>
      <c r="S44" s="451"/>
      <c r="T44" s="452"/>
      <c r="U44" s="130">
        <f t="shared" si="6"/>
        <v>0</v>
      </c>
      <c r="W44" s="201" t="str">
        <f t="shared" si="13"/>
        <v>-</v>
      </c>
      <c r="X44" s="198">
        <f t="shared" si="0"/>
        <v>0</v>
      </c>
      <c r="Y44" s="199">
        <f t="shared" si="14"/>
        <v>0</v>
      </c>
      <c r="Z44" s="210">
        <f t="shared" si="7"/>
        <v>0</v>
      </c>
      <c r="AA44" s="201" t="str">
        <f t="shared" si="20"/>
        <v>-</v>
      </c>
      <c r="AB44" s="198">
        <f t="shared" si="18"/>
        <v>0</v>
      </c>
      <c r="AC44" s="202">
        <f t="shared" si="21"/>
        <v>0</v>
      </c>
      <c r="AD44" s="210">
        <f t="shared" si="2"/>
        <v>0</v>
      </c>
      <c r="AE44" s="321" t="str">
        <f t="shared" si="15"/>
        <v>-</v>
      </c>
      <c r="AF44" s="198">
        <f t="shared" si="3"/>
        <v>0</v>
      </c>
      <c r="AG44" s="322">
        <f t="shared" si="10"/>
        <v>0</v>
      </c>
      <c r="AH44" s="319">
        <f t="shared" si="17"/>
        <v>0</v>
      </c>
      <c r="AI44" s="321" t="str">
        <f t="shared" si="22"/>
        <v>-</v>
      </c>
      <c r="AJ44" s="198">
        <f t="shared" si="19"/>
        <v>0</v>
      </c>
      <c r="AK44" s="322">
        <f t="shared" si="16"/>
        <v>0</v>
      </c>
      <c r="AL44" s="326">
        <f t="shared" si="5"/>
        <v>0</v>
      </c>
    </row>
    <row r="45" spans="1:38" ht="17.25" customHeight="1" x14ac:dyDescent="0.2">
      <c r="B45" s="128"/>
      <c r="D45" s="109" t="s">
        <v>93</v>
      </c>
      <c r="E45" s="459">
        <f>IF(OR(AND(H30=0,L20&gt;0),Basisdaten!Y47="n.a.",ISERROR(Basisdaten!Y47),E44=0),"./.",ROUND(Basisdaten!Y47/100,4))</f>
        <v>6.8900000000000003E-2</v>
      </c>
      <c r="F45" s="133" t="str">
        <f t="shared" ref="F45:F49" si="23">IF($E$42=7,O77,IF($E$42=6,M77,IF($E$42=5,L77,K77)))</f>
        <v>PC1</v>
      </c>
      <c r="G45" s="111"/>
      <c r="H45" s="375"/>
      <c r="K45" s="158"/>
      <c r="L45" s="169"/>
      <c r="M45" s="158"/>
      <c r="N45" s="158"/>
      <c r="O45" s="170"/>
      <c r="P45" s="170"/>
      <c r="R45" s="129" t="str">
        <f t="shared" si="12"/>
        <v/>
      </c>
      <c r="S45" s="451"/>
      <c r="T45" s="452"/>
      <c r="U45" s="130">
        <f t="shared" si="6"/>
        <v>0</v>
      </c>
      <c r="W45" s="201" t="str">
        <f t="shared" si="13"/>
        <v>-</v>
      </c>
      <c r="X45" s="198">
        <f t="shared" si="0"/>
        <v>0</v>
      </c>
      <c r="Y45" s="199">
        <f t="shared" si="14"/>
        <v>0</v>
      </c>
      <c r="Z45" s="210">
        <f t="shared" si="7"/>
        <v>0</v>
      </c>
      <c r="AA45" s="201" t="str">
        <f t="shared" si="20"/>
        <v>-</v>
      </c>
      <c r="AB45" s="198">
        <f t="shared" si="18"/>
        <v>0</v>
      </c>
      <c r="AC45" s="202">
        <f t="shared" si="21"/>
        <v>0</v>
      </c>
      <c r="AD45" s="210">
        <f t="shared" si="2"/>
        <v>0</v>
      </c>
      <c r="AE45" s="321" t="str">
        <f t="shared" si="15"/>
        <v>-</v>
      </c>
      <c r="AF45" s="198">
        <f t="shared" si="3"/>
        <v>0</v>
      </c>
      <c r="AG45" s="322">
        <f t="shared" si="10"/>
        <v>0</v>
      </c>
      <c r="AH45" s="319">
        <f t="shared" si="17"/>
        <v>0</v>
      </c>
      <c r="AI45" s="321" t="str">
        <f t="shared" si="22"/>
        <v>-</v>
      </c>
      <c r="AJ45" s="198">
        <f t="shared" si="19"/>
        <v>0</v>
      </c>
      <c r="AK45" s="322">
        <f t="shared" si="16"/>
        <v>0</v>
      </c>
      <c r="AL45" s="326">
        <f t="shared" si="5"/>
        <v>0</v>
      </c>
    </row>
    <row r="46" spans="1:38" ht="17.25" customHeight="1" x14ac:dyDescent="0.2">
      <c r="B46" s="128"/>
      <c r="D46" s="110" t="s">
        <v>95</v>
      </c>
      <c r="E46" s="393">
        <f>IF(OR($H$28&lt;2,E45="./.",E41=0),"./.",IF(AND(L40=FALSE,E41&gt;0),ROUND(E45*E41,2),IF(AND(L40=TRUE,E41&gt;0),ROUND(E45*#REF!,2),0)))</f>
        <v>6890000</v>
      </c>
      <c r="F46" s="133" t="str">
        <f t="shared" si="23"/>
        <v>PC2</v>
      </c>
      <c r="G46" s="111"/>
      <c r="H46" s="371"/>
      <c r="R46" s="129" t="str">
        <f t="shared" si="12"/>
        <v/>
      </c>
      <c r="S46" s="451"/>
      <c r="T46" s="452"/>
      <c r="U46" s="130">
        <f t="shared" si="6"/>
        <v>0</v>
      </c>
      <c r="W46" s="201" t="str">
        <f t="shared" si="13"/>
        <v>-</v>
      </c>
      <c r="X46" s="198">
        <f t="shared" si="0"/>
        <v>0</v>
      </c>
      <c r="Y46" s="199">
        <f t="shared" si="14"/>
        <v>0</v>
      </c>
      <c r="Z46" s="210">
        <f t="shared" si="7"/>
        <v>0</v>
      </c>
      <c r="AA46" s="201" t="str">
        <f t="shared" si="20"/>
        <v>-</v>
      </c>
      <c r="AB46" s="198">
        <f t="shared" si="18"/>
        <v>0</v>
      </c>
      <c r="AC46" s="202">
        <f t="shared" si="21"/>
        <v>0</v>
      </c>
      <c r="AD46" s="210">
        <f t="shared" si="2"/>
        <v>0</v>
      </c>
      <c r="AE46" s="321" t="str">
        <f t="shared" si="15"/>
        <v>-</v>
      </c>
      <c r="AF46" s="198">
        <f t="shared" si="3"/>
        <v>0</v>
      </c>
      <c r="AG46" s="322">
        <f t="shared" si="10"/>
        <v>0</v>
      </c>
      <c r="AH46" s="319">
        <f t="shared" si="17"/>
        <v>0</v>
      </c>
      <c r="AI46" s="321" t="str">
        <f t="shared" si="22"/>
        <v>-</v>
      </c>
      <c r="AJ46" s="198">
        <f t="shared" si="19"/>
        <v>0</v>
      </c>
      <c r="AK46" s="322">
        <f t="shared" si="16"/>
        <v>0</v>
      </c>
      <c r="AL46" s="326">
        <f t="shared" si="5"/>
        <v>0</v>
      </c>
    </row>
    <row r="47" spans="1:38" ht="17.25" customHeight="1" x14ac:dyDescent="0.2">
      <c r="B47" s="128"/>
      <c r="D47" s="546" t="s">
        <v>181</v>
      </c>
      <c r="E47" s="394">
        <f>IF(E45="./.",0,IF(K52=TRUE,$E$46*L52,0))</f>
        <v>0</v>
      </c>
      <c r="F47" s="133" t="str">
        <f t="shared" si="23"/>
        <v>PC3</v>
      </c>
      <c r="G47" s="487"/>
      <c r="H47" s="475"/>
      <c r="R47" s="129" t="str">
        <f t="shared" si="12"/>
        <v/>
      </c>
      <c r="S47" s="451"/>
      <c r="T47" s="452"/>
      <c r="U47" s="130">
        <f t="shared" si="6"/>
        <v>0</v>
      </c>
      <c r="W47" s="201" t="str">
        <f t="shared" si="13"/>
        <v>-</v>
      </c>
      <c r="X47" s="198">
        <f t="shared" si="0"/>
        <v>0</v>
      </c>
      <c r="Y47" s="199">
        <f t="shared" si="14"/>
        <v>0</v>
      </c>
      <c r="Z47" s="210">
        <f t="shared" si="7"/>
        <v>0</v>
      </c>
      <c r="AA47" s="201" t="str">
        <f t="shared" si="20"/>
        <v>-</v>
      </c>
      <c r="AB47" s="198">
        <f t="shared" si="18"/>
        <v>0</v>
      </c>
      <c r="AC47" s="202">
        <f t="shared" si="21"/>
        <v>0</v>
      </c>
      <c r="AD47" s="210">
        <f t="shared" si="2"/>
        <v>0</v>
      </c>
      <c r="AE47" s="321" t="str">
        <f t="shared" si="15"/>
        <v>-</v>
      </c>
      <c r="AF47" s="198">
        <f t="shared" si="3"/>
        <v>0</v>
      </c>
      <c r="AG47" s="322">
        <f t="shared" si="10"/>
        <v>0</v>
      </c>
      <c r="AH47" s="319">
        <f t="shared" si="17"/>
        <v>0</v>
      </c>
      <c r="AI47" s="321" t="str">
        <f t="shared" si="22"/>
        <v>-</v>
      </c>
      <c r="AJ47" s="198">
        <f t="shared" si="19"/>
        <v>0</v>
      </c>
      <c r="AK47" s="322">
        <f t="shared" si="16"/>
        <v>0</v>
      </c>
      <c r="AL47" s="326">
        <f t="shared" si="5"/>
        <v>0</v>
      </c>
    </row>
    <row r="48" spans="1:38" ht="17.25" customHeight="1" x14ac:dyDescent="0.2">
      <c r="B48" s="128"/>
      <c r="D48" s="547"/>
      <c r="E48" s="392"/>
      <c r="F48" s="133" t="str">
        <f t="shared" si="23"/>
        <v>PC4</v>
      </c>
      <c r="G48" s="488"/>
      <c r="H48" s="476"/>
      <c r="R48" s="129" t="str">
        <f t="shared" si="12"/>
        <v/>
      </c>
      <c r="S48" s="451"/>
      <c r="T48" s="452"/>
      <c r="U48" s="130">
        <f t="shared" si="6"/>
        <v>0</v>
      </c>
      <c r="W48" s="201" t="str">
        <f t="shared" si="13"/>
        <v>-</v>
      </c>
      <c r="X48" s="198">
        <f t="shared" si="0"/>
        <v>0</v>
      </c>
      <c r="Y48" s="199">
        <f t="shared" si="14"/>
        <v>0</v>
      </c>
      <c r="Z48" s="210">
        <f t="shared" si="7"/>
        <v>0</v>
      </c>
      <c r="AA48" s="201" t="str">
        <f t="shared" si="20"/>
        <v>-</v>
      </c>
      <c r="AB48" s="198">
        <f t="shared" si="18"/>
        <v>0</v>
      </c>
      <c r="AC48" s="202">
        <f t="shared" si="21"/>
        <v>0</v>
      </c>
      <c r="AD48" s="210">
        <f t="shared" si="2"/>
        <v>0</v>
      </c>
      <c r="AE48" s="321" t="str">
        <f t="shared" si="15"/>
        <v>-</v>
      </c>
      <c r="AF48" s="198">
        <f t="shared" si="3"/>
        <v>0</v>
      </c>
      <c r="AG48" s="322">
        <f t="shared" si="10"/>
        <v>0</v>
      </c>
      <c r="AH48" s="319">
        <f t="shared" si="17"/>
        <v>0</v>
      </c>
      <c r="AI48" s="321" t="str">
        <f t="shared" si="22"/>
        <v>-</v>
      </c>
      <c r="AJ48" s="198">
        <f t="shared" si="19"/>
        <v>0</v>
      </c>
      <c r="AK48" s="322">
        <f t="shared" si="16"/>
        <v>0</v>
      </c>
      <c r="AL48" s="326">
        <f t="shared" si="5"/>
        <v>0</v>
      </c>
    </row>
    <row r="49" spans="2:38" ht="17.25" customHeight="1" x14ac:dyDescent="0.2">
      <c r="B49" s="128"/>
      <c r="D49" s="180" t="s">
        <v>122</v>
      </c>
      <c r="E49" s="396">
        <f>IF(OR(E44=0,E45="./."),0,SUM(E46:E48))</f>
        <v>6890000</v>
      </c>
      <c r="F49" s="133" t="str">
        <f t="shared" si="23"/>
        <v>PC5</v>
      </c>
      <c r="G49" s="417" t="s">
        <v>185</v>
      </c>
      <c r="H49" s="419">
        <f>IF(E41&gt;0,ROUND(E49/$E$41,6),0)</f>
        <v>6.8900000000000003E-2</v>
      </c>
      <c r="R49" s="129" t="str">
        <f t="shared" si="12"/>
        <v/>
      </c>
      <c r="S49" s="451"/>
      <c r="T49" s="452"/>
      <c r="U49" s="130">
        <f t="shared" si="6"/>
        <v>0</v>
      </c>
      <c r="W49" s="201" t="str">
        <f t="shared" si="13"/>
        <v>-</v>
      </c>
      <c r="X49" s="198">
        <f t="shared" si="0"/>
        <v>0</v>
      </c>
      <c r="Y49" s="199">
        <f t="shared" si="14"/>
        <v>0</v>
      </c>
      <c r="Z49" s="210">
        <f t="shared" si="7"/>
        <v>0</v>
      </c>
      <c r="AA49" s="201" t="str">
        <f t="shared" si="20"/>
        <v>-</v>
      </c>
      <c r="AB49" s="198">
        <f t="shared" si="18"/>
        <v>0</v>
      </c>
      <c r="AC49" s="202">
        <f t="shared" si="21"/>
        <v>0</v>
      </c>
      <c r="AD49" s="210">
        <f t="shared" si="2"/>
        <v>0</v>
      </c>
      <c r="AE49" s="321" t="str">
        <f t="shared" si="15"/>
        <v>-</v>
      </c>
      <c r="AF49" s="198">
        <f t="shared" si="3"/>
        <v>0</v>
      </c>
      <c r="AG49" s="322">
        <f t="shared" si="10"/>
        <v>0</v>
      </c>
      <c r="AH49" s="319">
        <f t="shared" si="17"/>
        <v>0</v>
      </c>
      <c r="AI49" s="321" t="str">
        <f t="shared" si="22"/>
        <v>-</v>
      </c>
      <c r="AJ49" s="198">
        <f t="shared" si="19"/>
        <v>0</v>
      </c>
      <c r="AK49" s="322">
        <f t="shared" si="16"/>
        <v>0</v>
      </c>
      <c r="AL49" s="326">
        <f t="shared" si="5"/>
        <v>0</v>
      </c>
    </row>
    <row r="50" spans="2:38" ht="17.25" customHeight="1" x14ac:dyDescent="0.2">
      <c r="B50" s="128"/>
      <c r="D50" s="377" t="str">
        <f>IF(OR(E43="./.",AND(E43&lt;&gt;F41,E43&lt;&gt;F42,E43&lt;&gt;F43,E43&lt;&gt;F44,E43&lt;&gt;F45,E43&lt;&gt;F46,E43&lt;&gt;F47,E43&lt;&gt;F48,E43&lt;&gt;F49)),"Bitte geben Sie eine gültige Projektkategorie an.","")</f>
        <v/>
      </c>
      <c r="E50" s="378"/>
      <c r="F50" s="379" t="str">
        <f>IF(H28=0,IF(AND(L20&lt;&gt;0,ROUND(S241,2)&lt;&gt;ROUND(E41,2)),"Der Kreditbetrag stimmt nicht mit der Summe der Tilgungen überein!",""),"")</f>
        <v/>
      </c>
      <c r="G50" s="111"/>
      <c r="H50" s="371"/>
      <c r="R50" s="129" t="str">
        <f t="shared" si="12"/>
        <v/>
      </c>
      <c r="S50" s="451"/>
      <c r="T50" s="452"/>
      <c r="U50" s="130">
        <f t="shared" si="6"/>
        <v>0</v>
      </c>
      <c r="W50" s="201" t="str">
        <f t="shared" si="13"/>
        <v>-</v>
      </c>
      <c r="X50" s="198">
        <f t="shared" si="0"/>
        <v>0</v>
      </c>
      <c r="Y50" s="199">
        <f t="shared" si="14"/>
        <v>0</v>
      </c>
      <c r="Z50" s="210">
        <f t="shared" si="7"/>
        <v>0</v>
      </c>
      <c r="AA50" s="201" t="str">
        <f t="shared" si="20"/>
        <v>-</v>
      </c>
      <c r="AB50" s="198">
        <f t="shared" si="18"/>
        <v>0</v>
      </c>
      <c r="AC50" s="202">
        <f t="shared" si="21"/>
        <v>0</v>
      </c>
      <c r="AD50" s="210">
        <f t="shared" si="2"/>
        <v>0</v>
      </c>
      <c r="AE50" s="321" t="str">
        <f t="shared" si="15"/>
        <v>-</v>
      </c>
      <c r="AF50" s="198">
        <f t="shared" si="3"/>
        <v>0</v>
      </c>
      <c r="AG50" s="322">
        <f t="shared" si="10"/>
        <v>0</v>
      </c>
      <c r="AH50" s="319">
        <f t="shared" si="17"/>
        <v>0</v>
      </c>
      <c r="AI50" s="321" t="str">
        <f t="shared" si="22"/>
        <v>-</v>
      </c>
      <c r="AJ50" s="198">
        <f t="shared" si="19"/>
        <v>0</v>
      </c>
      <c r="AK50" s="322">
        <f t="shared" si="16"/>
        <v>0</v>
      </c>
      <c r="AL50" s="326">
        <f t="shared" si="5"/>
        <v>0</v>
      </c>
    </row>
    <row r="51" spans="2:38" ht="17.25" customHeight="1" x14ac:dyDescent="0.2">
      <c r="B51" s="128"/>
      <c r="D51" s="527" t="s">
        <v>186</v>
      </c>
      <c r="E51" s="528"/>
      <c r="F51" s="528"/>
      <c r="G51" s="528"/>
      <c r="H51" s="529"/>
      <c r="L51" s="158" t="s">
        <v>169</v>
      </c>
      <c r="R51" s="129" t="str">
        <f t="shared" si="12"/>
        <v/>
      </c>
      <c r="S51" s="451"/>
      <c r="T51" s="452"/>
      <c r="U51" s="130">
        <f t="shared" si="6"/>
        <v>0</v>
      </c>
      <c r="W51" s="201" t="str">
        <f>IF($O$27=6,R51,IF(ISERROR(#REF!+1),"-",IF(AND($K$30&gt;0,$K$29&gt;=24,#REF!+1&lt;=$K$30),#REF!+1,"-")))</f>
        <v>-</v>
      </c>
      <c r="X51" s="198">
        <f t="shared" si="0"/>
        <v>0</v>
      </c>
      <c r="Y51" s="199">
        <f>IF($O$27=6,T51,IF(X51&gt;0,$Q$30+#REF!,0))</f>
        <v>0</v>
      </c>
      <c r="Z51" s="210">
        <f t="shared" si="7"/>
        <v>0</v>
      </c>
      <c r="AA51" s="201" t="str">
        <f>IF($O$27=6,R159,IF(ISERROR(#REF!+1),"-",IF(AND($K$30&gt;0,$K$29&gt;=24,#REF!+1&lt;=$K$30),#REF!+1,"-")))</f>
        <v>-</v>
      </c>
      <c r="AB51" s="198">
        <f>IF(AND(AA51&lt;&gt;"-",$K$29&gt;=24),IF($O$27=6,S159,IF($E$41&gt;0,$E$41/($K$30-$K$31),1000000/($K$30-$K$31))),0)</f>
        <v>0</v>
      </c>
      <c r="AC51" s="202">
        <f>IF($O$27=6,T159,IF(AB51&gt;0,$Q$30+#REF!,0))</f>
        <v>0</v>
      </c>
      <c r="AD51" s="210">
        <f t="shared" si="2"/>
        <v>0</v>
      </c>
      <c r="AE51" s="321" t="str">
        <f>IF($O$27=6,R51,IF(ISERROR(#REF!+1),"-",IF(AND($K$30&gt;0,$K$29&gt;=24,#REF!+1&lt;=$K$30),#REF!+1,"-")))</f>
        <v>-</v>
      </c>
      <c r="AF51" s="198">
        <f t="shared" si="3"/>
        <v>0</v>
      </c>
      <c r="AG51" s="322">
        <f t="shared" si="10"/>
        <v>0</v>
      </c>
      <c r="AH51" s="319">
        <f t="shared" si="17"/>
        <v>0</v>
      </c>
      <c r="AI51" s="321" t="str">
        <f>IF($O$27=6,R159,IF(ISERROR(#REF!+1),"-",IF(AND($K$30&gt;0,$K$29&gt;=24,#REF!+1&lt;=$K$30),#REF!+1,"-")))</f>
        <v>-</v>
      </c>
      <c r="AJ51" s="198">
        <f>IF(AND(AI51&lt;&gt;"-",$K$29&gt;=24),IF($O$27=6,S159,IF($J$41&gt;0,$J$41/($K$30-$K$31),1000000/($K$30-$K$31))),0)</f>
        <v>0</v>
      </c>
      <c r="AK51" s="322">
        <f t="shared" si="16"/>
        <v>0</v>
      </c>
      <c r="AL51" s="326">
        <f t="shared" si="5"/>
        <v>0</v>
      </c>
    </row>
    <row r="52" spans="2:38" ht="17.25" customHeight="1" x14ac:dyDescent="0.2">
      <c r="B52" s="128"/>
      <c r="D52" s="530"/>
      <c r="E52" s="531"/>
      <c r="F52" s="531"/>
      <c r="G52" s="531"/>
      <c r="H52" s="532"/>
      <c r="K52" s="158" t="b">
        <v>0</v>
      </c>
      <c r="L52" s="159">
        <f>IF(K52=TRUE,10%,0)</f>
        <v>0</v>
      </c>
      <c r="R52" s="129" t="str">
        <f t="shared" si="12"/>
        <v/>
      </c>
      <c r="S52" s="451"/>
      <c r="T52" s="452"/>
      <c r="U52" s="130">
        <f t="shared" si="6"/>
        <v>0</v>
      </c>
      <c r="W52" s="201" t="str">
        <f t="shared" si="13"/>
        <v>-</v>
      </c>
      <c r="X52" s="198">
        <f t="shared" si="0"/>
        <v>0</v>
      </c>
      <c r="Y52" s="199">
        <f t="shared" si="14"/>
        <v>0</v>
      </c>
      <c r="Z52" s="210">
        <f t="shared" si="7"/>
        <v>0</v>
      </c>
      <c r="AA52" s="201" t="str">
        <f>IF($O$27=6,R160,IF(ISERROR(AA51+1),"-",IF(AND($K$30&gt;0,$K$29&gt;=24,AA51+1&lt;=$K$30),AA51+1,"-")))</f>
        <v>-</v>
      </c>
      <c r="AB52" s="198">
        <f>IF(AND(AA52&lt;&gt;"-",$K$29&gt;=24),IF($O$27=6,S160,IF($E$41&gt;0,$E$41/($K$30-$K$31),1000000/($K$30-$K$31))),0)</f>
        <v>0</v>
      </c>
      <c r="AC52" s="202">
        <f>IF($O$27=6,T160,IF(AB52&gt;0,$Q$30+AC51,0))</f>
        <v>0</v>
      </c>
      <c r="AD52" s="210">
        <f t="shared" si="2"/>
        <v>0</v>
      </c>
      <c r="AE52" s="321" t="str">
        <f t="shared" si="15"/>
        <v>-</v>
      </c>
      <c r="AF52" s="198">
        <f t="shared" si="3"/>
        <v>0</v>
      </c>
      <c r="AG52" s="322">
        <f t="shared" si="10"/>
        <v>0</v>
      </c>
      <c r="AH52" s="319">
        <f t="shared" si="17"/>
        <v>0</v>
      </c>
      <c r="AI52" s="321" t="str">
        <f>IF($O$27=6,R160,IF(ISERROR(AI51+1),"-",IF(AND($K$30&gt;0,$K$29&gt;=24,AI51+1&lt;=$K$30),AI51+1,"-")))</f>
        <v>-</v>
      </c>
      <c r="AJ52" s="198">
        <f>IF(AND(AI52&lt;&gt;"-",$K$29&gt;=24),IF($O$27=6,S160,IF($J$41&gt;0,$J$41/($K$30-$K$31),1000000/($K$30-$K$31))),0)</f>
        <v>0</v>
      </c>
      <c r="AK52" s="322">
        <f t="shared" si="16"/>
        <v>0</v>
      </c>
      <c r="AL52" s="326">
        <f t="shared" si="5"/>
        <v>0</v>
      </c>
    </row>
    <row r="53" spans="2:38" ht="17.25" customHeight="1" x14ac:dyDescent="0.2">
      <c r="B53" s="128"/>
      <c r="D53" s="533" t="s">
        <v>101</v>
      </c>
      <c r="F53" s="540" t="s">
        <v>220</v>
      </c>
      <c r="G53" s="541"/>
      <c r="H53" s="542"/>
      <c r="R53" s="129" t="str">
        <f t="shared" si="12"/>
        <v/>
      </c>
      <c r="S53" s="451"/>
      <c r="T53" s="452"/>
      <c r="U53" s="130">
        <f t="shared" si="6"/>
        <v>0</v>
      </c>
      <c r="W53" s="201" t="str">
        <f t="shared" si="13"/>
        <v>-</v>
      </c>
      <c r="X53" s="198">
        <f t="shared" si="0"/>
        <v>0</v>
      </c>
      <c r="Y53" s="199">
        <f t="shared" si="14"/>
        <v>0</v>
      </c>
      <c r="Z53" s="210">
        <f t="shared" si="7"/>
        <v>0</v>
      </c>
      <c r="AA53" s="201" t="str">
        <f>IF($O$27=6,R161,IF(ISERROR(AA52+1),"-",IF(AND($K$30&gt;0,$K$29&gt;=24,AA52+1&lt;=$K$30),AA52+1,"-")))</f>
        <v>-</v>
      </c>
      <c r="AB53" s="198">
        <f>IF(AND(AA53&lt;&gt;"-",$K$29&gt;=24),IF($O$27=6,S161,IF($E$41&gt;0,$E$41/($K$30-$K$31),1000000/($K$30-$K$31))),0)</f>
        <v>0</v>
      </c>
      <c r="AC53" s="202">
        <f>IF($O$27=6,T161,IF(AB53&gt;0,$Q$30+AC52,0))</f>
        <v>0</v>
      </c>
      <c r="AD53" s="210">
        <f t="shared" si="2"/>
        <v>0</v>
      </c>
      <c r="AE53" s="321" t="str">
        <f t="shared" si="15"/>
        <v>-</v>
      </c>
      <c r="AF53" s="198">
        <f t="shared" si="3"/>
        <v>0</v>
      </c>
      <c r="AG53" s="322">
        <f t="shared" si="10"/>
        <v>0</v>
      </c>
      <c r="AH53" s="319">
        <f t="shared" si="17"/>
        <v>0</v>
      </c>
      <c r="AI53" s="321" t="str">
        <f>IF($O$27=6,R161,IF(ISERROR(AI52+1),"-",IF(AND($K$30&gt;0,$K$29&gt;=24,AI52+1&lt;=$K$30),AI52+1,"-")))</f>
        <v>-</v>
      </c>
      <c r="AJ53" s="198">
        <f>IF(AND(AI53&lt;&gt;"-",$K$29&gt;=24),IF($O$27=6,S161,IF($J$41&gt;0,$J$41/($K$30-$K$31),1000000/($K$30-$K$31))),0)</f>
        <v>0</v>
      </c>
      <c r="AK53" s="322">
        <f t="shared" si="16"/>
        <v>0</v>
      </c>
      <c r="AL53" s="326">
        <f t="shared" si="5"/>
        <v>0</v>
      </c>
    </row>
    <row r="54" spans="2:38" ht="17.25" customHeight="1" x14ac:dyDescent="0.2">
      <c r="B54" s="128"/>
      <c r="D54" s="534"/>
      <c r="E54" s="142">
        <f>IF(OR($E$43=F41,$E$43=F42,$E$43=F43,$E$43=F44),0,E55)</f>
        <v>0</v>
      </c>
      <c r="F54" s="543"/>
      <c r="G54" s="544"/>
      <c r="H54" s="545"/>
      <c r="K54" s="158" t="b">
        <v>0</v>
      </c>
      <c r="L54" s="159">
        <f>IF(K54=TRUE,10%,0)</f>
        <v>0</v>
      </c>
      <c r="R54" s="129" t="str">
        <f t="shared" si="12"/>
        <v/>
      </c>
      <c r="S54" s="451"/>
      <c r="T54" s="452"/>
      <c r="U54" s="130">
        <f t="shared" si="6"/>
        <v>0</v>
      </c>
      <c r="W54" s="201" t="str">
        <f t="shared" si="13"/>
        <v>-</v>
      </c>
      <c r="X54" s="198">
        <f t="shared" si="0"/>
        <v>0</v>
      </c>
      <c r="Y54" s="199">
        <f t="shared" si="14"/>
        <v>0</v>
      </c>
      <c r="Z54" s="210">
        <f t="shared" si="7"/>
        <v>0</v>
      </c>
      <c r="AA54" s="201" t="str">
        <f>IF($O$27=6,R162,IF(ISERROR(AA53+1),"-",IF(AND($K$30&gt;0,$K$29&gt;=24,AA53+1&lt;=$K$30),AA53+1,"-")))</f>
        <v>-</v>
      </c>
      <c r="AB54" s="198">
        <f>IF(AND(AA54&lt;&gt;"-",$K$29&gt;=24),IF($O$27=6,S162,IF($E$41&gt;0,$E$41/($K$30-$K$31),1000000/($K$30-$K$31))),0)</f>
        <v>0</v>
      </c>
      <c r="AC54" s="202">
        <f>IF($O$27=6,T162,IF(AB54&gt;0,$Q$30+AC53,0))</f>
        <v>0</v>
      </c>
      <c r="AD54" s="210">
        <f t="shared" si="2"/>
        <v>0</v>
      </c>
      <c r="AE54" s="321" t="str">
        <f t="shared" si="15"/>
        <v>-</v>
      </c>
      <c r="AF54" s="198">
        <f t="shared" si="3"/>
        <v>0</v>
      </c>
      <c r="AG54" s="322">
        <f t="shared" si="10"/>
        <v>0</v>
      </c>
      <c r="AH54" s="319">
        <f t="shared" si="17"/>
        <v>0</v>
      </c>
      <c r="AI54" s="321" t="str">
        <f>IF($O$27=6,R162,IF(ISERROR(AI53+1),"-",IF(AND($K$30&gt;0,$K$29&gt;=24,AI53+1&lt;=$K$30),AI53+1,"-")))</f>
        <v>-</v>
      </c>
      <c r="AJ54" s="198">
        <f>IF(AND(AI54&lt;&gt;"-",$K$29&gt;=24),IF($O$27=6,S162,IF($J$41&gt;0,$J$41/($K$30-$K$31),1000000/($K$30-$K$31))),0)</f>
        <v>0</v>
      </c>
      <c r="AK54" s="322">
        <f t="shared" si="16"/>
        <v>0</v>
      </c>
      <c r="AL54" s="326">
        <f t="shared" si="5"/>
        <v>0</v>
      </c>
    </row>
    <row r="55" spans="2:38" ht="17.25" customHeight="1" x14ac:dyDescent="0.2">
      <c r="B55" s="128"/>
      <c r="D55" s="535"/>
      <c r="E55" s="455">
        <v>0</v>
      </c>
      <c r="F55" s="141" t="s">
        <v>89</v>
      </c>
      <c r="G55" s="108" t="str">
        <f>"Entgeltsatz "&amp;E43&amp;"; LK"&amp;E42</f>
        <v>Entgeltsatz PC3; LK3</v>
      </c>
      <c r="H55" s="154">
        <f>IF(OR(E44=0,E45="./."),"./.",ROUND(E45,4))</f>
        <v>6.8900000000000003E-2</v>
      </c>
      <c r="K55" s="158"/>
      <c r="L55" s="158"/>
      <c r="M55" s="158"/>
      <c r="N55" s="158"/>
      <c r="R55" s="129" t="str">
        <f t="shared" si="12"/>
        <v/>
      </c>
      <c r="S55" s="451"/>
      <c r="T55" s="452"/>
      <c r="U55" s="130">
        <f t="shared" si="6"/>
        <v>0</v>
      </c>
      <c r="W55" s="201" t="str">
        <f>IF($O$27=6,R55,IF(ISERROR(#REF!+1),"-",IF(AND($K$30&gt;0,$K$29&gt;=24,#REF!+1&lt;=$K$30),#REF!+1,"-")))</f>
        <v>-</v>
      </c>
      <c r="X55" s="198">
        <f t="shared" si="0"/>
        <v>0</v>
      </c>
      <c r="Y55" s="199">
        <f>IF($O$27=6,T55,IF(X55&gt;0,$Q$30+#REF!,0))</f>
        <v>0</v>
      </c>
      <c r="Z55" s="210">
        <f t="shared" si="7"/>
        <v>0</v>
      </c>
      <c r="AA55" s="201" t="str">
        <f>IF($O$27=6,R165,IF(ISERROR(#REF!+1),"-",IF(AND($K$30&gt;0,$K$29&gt;=24,#REF!+1&lt;=$K$30),#REF!+1,"-")))</f>
        <v>-</v>
      </c>
      <c r="AB55" s="198">
        <f t="shared" ref="AB55:AB86" si="24">IF(AND(AA55&lt;&gt;"-",$K$29&gt;=24),IF($O$27=6,S165,IF($E$41&gt;0,$E$41/($K$30-$K$31),1000000/($K$30-$K$31))),0)</f>
        <v>0</v>
      </c>
      <c r="AC55" s="202">
        <f>IF($O$27=6,T165,IF(AB55&gt;0,$Q$30+#REF!,0))</f>
        <v>0</v>
      </c>
      <c r="AD55" s="210">
        <f t="shared" si="2"/>
        <v>0</v>
      </c>
      <c r="AE55" s="321" t="str">
        <f>IF($O$27=6,R55,IF(ISERROR(#REF!+1),"-",IF(AND($K$30&gt;0,$K$29&gt;=24,#REF!+1&lt;=$K$30),#REF!+1,"-")))</f>
        <v>-</v>
      </c>
      <c r="AF55" s="198">
        <f t="shared" si="3"/>
        <v>0</v>
      </c>
      <c r="AG55" s="322">
        <f t="shared" si="10"/>
        <v>0</v>
      </c>
      <c r="AH55" s="319">
        <f t="shared" si="17"/>
        <v>0</v>
      </c>
      <c r="AI55" s="321" t="str">
        <f>IF($O$27=6,R165,IF(ISERROR(#REF!+1),"-",IF(AND($K$30&gt;0,$K$29&gt;=24,#REF!+1&lt;=$K$30),#REF!+1,"-")))</f>
        <v>-</v>
      </c>
      <c r="AJ55" s="198">
        <f t="shared" ref="AJ55:AJ86" si="25">IF(AND(AI55&lt;&gt;"-",$K$29&gt;=24),IF($O$27=6,S165,IF($J$41&gt;0,$J$41/($K$30-$K$31),1000000/($K$30-$K$31))),0)</f>
        <v>0</v>
      </c>
      <c r="AK55" s="322">
        <f>IF($O$27=6,#REF!,IF(AJ55&gt;0,$Q$30+#REF!,0))</f>
        <v>0</v>
      </c>
      <c r="AL55" s="326">
        <f t="shared" si="5"/>
        <v>0</v>
      </c>
    </row>
    <row r="56" spans="2:38" ht="17.25" customHeight="1" x14ac:dyDescent="0.2">
      <c r="B56" s="128"/>
      <c r="D56" s="109" t="s">
        <v>93</v>
      </c>
      <c r="E56" s="459">
        <f>H59</f>
        <v>6.8900000000000003E-2</v>
      </c>
      <c r="F56" s="140"/>
      <c r="G56" s="109" t="str">
        <f>"./. Entgeltsatz PC0; LK"&amp;E42</f>
        <v>./. Entgeltsatz PC0; LK3</v>
      </c>
      <c r="H56" s="155">
        <f>IF(OR(E44=0,E45="./."),"./.",ROUND(Basisdaten!Y48/100,4))</f>
        <v>3.7600000000000001E-2</v>
      </c>
      <c r="K56" s="171"/>
      <c r="L56" s="171"/>
      <c r="M56" s="171"/>
      <c r="N56" s="171"/>
      <c r="R56" s="129" t="str">
        <f t="shared" si="12"/>
        <v/>
      </c>
      <c r="S56" s="451"/>
      <c r="T56" s="452"/>
      <c r="U56" s="130">
        <f t="shared" si="6"/>
        <v>0</v>
      </c>
      <c r="W56" s="201" t="str">
        <f t="shared" si="13"/>
        <v>-</v>
      </c>
      <c r="X56" s="198">
        <f t="shared" si="0"/>
        <v>0</v>
      </c>
      <c r="Y56" s="199">
        <f t="shared" si="14"/>
        <v>0</v>
      </c>
      <c r="Z56" s="210">
        <f t="shared" si="7"/>
        <v>0</v>
      </c>
      <c r="AA56" s="201" t="str">
        <f t="shared" ref="AA56:AA57" si="26">IF($O$27=6,R166,IF(ISERROR(AA55+1),"-",IF(AND($K$30&gt;0,$K$29&gt;=24,AA55+1&lt;=$K$30),AA55+1,"-")))</f>
        <v>-</v>
      </c>
      <c r="AB56" s="198">
        <f t="shared" si="24"/>
        <v>0</v>
      </c>
      <c r="AC56" s="202">
        <f t="shared" ref="AC56:AC57" si="27">IF($O$27=6,T166,IF(AB56&gt;0,$Q$30+AC55,0))</f>
        <v>0</v>
      </c>
      <c r="AD56" s="210">
        <f t="shared" si="2"/>
        <v>0</v>
      </c>
      <c r="AE56" s="321" t="str">
        <f t="shared" si="15"/>
        <v>-</v>
      </c>
      <c r="AF56" s="198">
        <f t="shared" si="3"/>
        <v>0</v>
      </c>
      <c r="AG56" s="322">
        <f t="shared" si="10"/>
        <v>0</v>
      </c>
      <c r="AH56" s="319">
        <f t="shared" si="17"/>
        <v>0</v>
      </c>
      <c r="AI56" s="321" t="str">
        <f t="shared" ref="AI56:AI90" si="28">IF($O$27=6,R166,IF(ISERROR(AI55+1),"-",IF(AND($K$30&gt;0,$K$29&gt;=24,AI55+1&lt;=$K$30),AI55+1,"-")))</f>
        <v>-</v>
      </c>
      <c r="AJ56" s="198">
        <f t="shared" si="25"/>
        <v>0</v>
      </c>
      <c r="AK56" s="322">
        <f t="shared" si="16"/>
        <v>0</v>
      </c>
      <c r="AL56" s="326">
        <f t="shared" si="5"/>
        <v>0</v>
      </c>
    </row>
    <row r="57" spans="2:38" ht="17.25" customHeight="1" x14ac:dyDescent="0.2">
      <c r="B57" s="128"/>
      <c r="D57" s="110" t="s">
        <v>95</v>
      </c>
      <c r="E57" s="395">
        <f>IF(OR($H$28&lt;2,E45="Fehler"),"./.",IF(AND(L40=FALSE,E41),ROUND(E56*E41,2),IF(AND(L40=TRUE,E41),ROUND(E56*#REF!,2),0)))</f>
        <v>6890000</v>
      </c>
      <c r="F57" s="536" t="str">
        <f>IF(OR($E$43=F41,$E$43=F42,$E$43=F43,$E$43=F44),"Abschlag für diese Projektkategorie nicht möglich!","")</f>
        <v/>
      </c>
      <c r="G57" s="109" t="s">
        <v>214</v>
      </c>
      <c r="H57" s="156">
        <f>IF(OR(E44=0,E45="./."),"./.",IF(H55="./.","./.",H55-H56))</f>
        <v>3.1300000000000001E-2</v>
      </c>
      <c r="K57" s="171"/>
      <c r="L57" s="171"/>
      <c r="M57" s="171"/>
      <c r="N57" s="171"/>
      <c r="R57" s="129" t="str">
        <f t="shared" si="12"/>
        <v/>
      </c>
      <c r="S57" s="451"/>
      <c r="T57" s="452"/>
      <c r="U57" s="130">
        <f t="shared" si="6"/>
        <v>0</v>
      </c>
      <c r="W57" s="201" t="str">
        <f t="shared" si="13"/>
        <v>-</v>
      </c>
      <c r="X57" s="198">
        <f t="shared" si="0"/>
        <v>0</v>
      </c>
      <c r="Y57" s="199">
        <f t="shared" si="14"/>
        <v>0</v>
      </c>
      <c r="Z57" s="210">
        <f t="shared" si="7"/>
        <v>0</v>
      </c>
      <c r="AA57" s="201" t="str">
        <f t="shared" si="26"/>
        <v>-</v>
      </c>
      <c r="AB57" s="198">
        <f t="shared" si="24"/>
        <v>0</v>
      </c>
      <c r="AC57" s="202">
        <f t="shared" si="27"/>
        <v>0</v>
      </c>
      <c r="AD57" s="210">
        <f t="shared" ref="AD57:AD88" si="29">AB57*AC57/12</f>
        <v>0</v>
      </c>
      <c r="AE57" s="321" t="str">
        <f t="shared" si="15"/>
        <v>-</v>
      </c>
      <c r="AF57" s="198">
        <f t="shared" si="3"/>
        <v>0</v>
      </c>
      <c r="AG57" s="322">
        <f t="shared" si="10"/>
        <v>0</v>
      </c>
      <c r="AH57" s="319">
        <f t="shared" si="17"/>
        <v>0</v>
      </c>
      <c r="AI57" s="321" t="str">
        <f t="shared" si="28"/>
        <v>-</v>
      </c>
      <c r="AJ57" s="198">
        <f t="shared" si="25"/>
        <v>0</v>
      </c>
      <c r="AK57" s="322">
        <f t="shared" si="16"/>
        <v>0</v>
      </c>
      <c r="AL57" s="326">
        <f t="shared" si="5"/>
        <v>0</v>
      </c>
    </row>
    <row r="58" spans="2:38" ht="17.25" customHeight="1" x14ac:dyDescent="0.2">
      <c r="B58" s="128"/>
      <c r="D58" s="110" t="s">
        <v>182</v>
      </c>
      <c r="E58" s="395">
        <f>IF(OR($H$28&lt;2,E45="./."),"./.",IF(AND(K52=TRUE,K54=TRUE),ROUND(($E$57+E57*1.1)*10%,2),IF(K52=TRUE,ROUND($E$57*10%,2),IF(K54=TRUE,ROUND($E$57*10%,2),0))))</f>
        <v>0</v>
      </c>
      <c r="F58" s="536"/>
      <c r="G58" s="110" t="str">
        <f>"x  Abschlag auf das Projektrisiko "&amp;Basisdaten!CE*100&amp;"% ="</f>
        <v>x  Abschlag auf das Projektrisiko 0% =</v>
      </c>
      <c r="H58" s="156">
        <f>IF(OR(E44=0,E45="./."),"./.",ROUNDDOWN(H57*Basisdaten!CE,4))</f>
        <v>0</v>
      </c>
      <c r="K58" s="171"/>
      <c r="L58" s="171"/>
      <c r="M58" s="171"/>
      <c r="N58" s="171"/>
      <c r="R58" s="129" t="str">
        <f t="shared" si="12"/>
        <v/>
      </c>
      <c r="S58" s="451"/>
      <c r="T58" s="452"/>
      <c r="U58" s="130">
        <f t="shared" si="6"/>
        <v>0</v>
      </c>
      <c r="W58" s="201" t="str">
        <f t="shared" si="13"/>
        <v>-</v>
      </c>
      <c r="X58" s="198">
        <f t="shared" si="0"/>
        <v>0</v>
      </c>
      <c r="Y58" s="199">
        <f t="shared" si="14"/>
        <v>0</v>
      </c>
      <c r="Z58" s="210">
        <f t="shared" si="7"/>
        <v>0</v>
      </c>
      <c r="AA58" s="201" t="str">
        <f t="shared" ref="AA58:AA89" si="30">IF($O$27=6,R168,IF(ISERROR(AA57+1),"-",IF(AND($K$30&gt;0,$K$29&gt;=24,AA57+1&lt;=$K$30),AA57+1,"-")))</f>
        <v>-</v>
      </c>
      <c r="AB58" s="198">
        <f t="shared" si="24"/>
        <v>0</v>
      </c>
      <c r="AC58" s="202">
        <f t="shared" ref="AC58:AC89" si="31">IF($O$27=6,T168,IF(AB58&gt;0,$Q$30+AC57,0))</f>
        <v>0</v>
      </c>
      <c r="AD58" s="210">
        <f t="shared" si="29"/>
        <v>0</v>
      </c>
      <c r="AE58" s="321" t="str">
        <f t="shared" si="15"/>
        <v>-</v>
      </c>
      <c r="AF58" s="198">
        <f t="shared" si="3"/>
        <v>0</v>
      </c>
      <c r="AG58" s="322">
        <f t="shared" si="10"/>
        <v>0</v>
      </c>
      <c r="AH58" s="319">
        <f t="shared" si="17"/>
        <v>0</v>
      </c>
      <c r="AI58" s="321" t="str">
        <f t="shared" si="28"/>
        <v>-</v>
      </c>
      <c r="AJ58" s="198">
        <f t="shared" si="25"/>
        <v>0</v>
      </c>
      <c r="AK58" s="322">
        <f t="shared" si="16"/>
        <v>0</v>
      </c>
      <c r="AL58" s="326">
        <f t="shared" si="5"/>
        <v>0</v>
      </c>
    </row>
    <row r="59" spans="2:38" ht="17.25" customHeight="1" x14ac:dyDescent="0.2">
      <c r="B59" s="128"/>
      <c r="D59" s="180" t="s">
        <v>122</v>
      </c>
      <c r="E59" s="396">
        <f>IF(OR($H$28&lt;2,E45="Fehler"),0,SUM(E57:E58))</f>
        <v>6890000</v>
      </c>
      <c r="F59" s="536"/>
      <c r="G59" s="181" t="str">
        <f>G55&amp;" ./. Abschlag ="</f>
        <v>Entgeltsatz PC3; LK3 ./. Abschlag =</v>
      </c>
      <c r="H59" s="154">
        <f>IF(OR(E44=0,E45="./."),"./.",H55-H58)</f>
        <v>6.8900000000000003E-2</v>
      </c>
      <c r="R59" s="129" t="str">
        <f t="shared" si="12"/>
        <v/>
      </c>
      <c r="S59" s="451"/>
      <c r="T59" s="452"/>
      <c r="U59" s="130">
        <f t="shared" si="6"/>
        <v>0</v>
      </c>
      <c r="W59" s="201" t="str">
        <f t="shared" si="13"/>
        <v>-</v>
      </c>
      <c r="X59" s="198">
        <f t="shared" si="0"/>
        <v>0</v>
      </c>
      <c r="Y59" s="199">
        <f t="shared" si="14"/>
        <v>0</v>
      </c>
      <c r="Z59" s="210">
        <f t="shared" si="7"/>
        <v>0</v>
      </c>
      <c r="AA59" s="201" t="str">
        <f t="shared" si="30"/>
        <v>-</v>
      </c>
      <c r="AB59" s="198">
        <f t="shared" si="24"/>
        <v>0</v>
      </c>
      <c r="AC59" s="202">
        <f t="shared" si="31"/>
        <v>0</v>
      </c>
      <c r="AD59" s="210">
        <f t="shared" si="29"/>
        <v>0</v>
      </c>
      <c r="AE59" s="321" t="str">
        <f t="shared" si="15"/>
        <v>-</v>
      </c>
      <c r="AF59" s="198">
        <f t="shared" si="3"/>
        <v>0</v>
      </c>
      <c r="AG59" s="322">
        <f t="shared" si="10"/>
        <v>0</v>
      </c>
      <c r="AH59" s="319">
        <f t="shared" si="17"/>
        <v>0</v>
      </c>
      <c r="AI59" s="321" t="str">
        <f t="shared" si="28"/>
        <v>-</v>
      </c>
      <c r="AJ59" s="198">
        <f t="shared" si="25"/>
        <v>0</v>
      </c>
      <c r="AK59" s="322">
        <f t="shared" si="16"/>
        <v>0</v>
      </c>
      <c r="AL59" s="326">
        <f t="shared" si="5"/>
        <v>0</v>
      </c>
    </row>
    <row r="60" spans="2:38" ht="17.25" customHeight="1" x14ac:dyDescent="0.2">
      <c r="B60" s="128"/>
      <c r="D60" s="182" t="s">
        <v>104</v>
      </c>
      <c r="E60" s="396">
        <f>IF(OR($H$28&lt;2,E45="./."),"./.",E49-E59)</f>
        <v>0</v>
      </c>
      <c r="F60" s="160"/>
      <c r="G60" s="415"/>
      <c r="H60" s="416"/>
      <c r="R60" s="129" t="str">
        <f t="shared" si="12"/>
        <v/>
      </c>
      <c r="S60" s="451"/>
      <c r="T60" s="452"/>
      <c r="U60" s="130">
        <f t="shared" si="6"/>
        <v>0</v>
      </c>
      <c r="W60" s="201" t="str">
        <f t="shared" si="13"/>
        <v>-</v>
      </c>
      <c r="X60" s="198">
        <f t="shared" si="0"/>
        <v>0</v>
      </c>
      <c r="Y60" s="199">
        <f t="shared" si="14"/>
        <v>0</v>
      </c>
      <c r="Z60" s="210">
        <f t="shared" si="7"/>
        <v>0</v>
      </c>
      <c r="AA60" s="201" t="str">
        <f t="shared" si="30"/>
        <v>-</v>
      </c>
      <c r="AB60" s="198">
        <f t="shared" si="24"/>
        <v>0</v>
      </c>
      <c r="AC60" s="202">
        <f t="shared" si="31"/>
        <v>0</v>
      </c>
      <c r="AD60" s="210">
        <f t="shared" si="29"/>
        <v>0</v>
      </c>
      <c r="AE60" s="321" t="str">
        <f t="shared" si="15"/>
        <v>-</v>
      </c>
      <c r="AF60" s="198">
        <f t="shared" si="3"/>
        <v>0</v>
      </c>
      <c r="AG60" s="322">
        <f t="shared" si="10"/>
        <v>0</v>
      </c>
      <c r="AH60" s="319">
        <f t="shared" si="17"/>
        <v>0</v>
      </c>
      <c r="AI60" s="321" t="str">
        <f t="shared" si="28"/>
        <v>-</v>
      </c>
      <c r="AJ60" s="198">
        <f t="shared" si="25"/>
        <v>0</v>
      </c>
      <c r="AK60" s="322">
        <f t="shared" si="16"/>
        <v>0</v>
      </c>
      <c r="AL60" s="326">
        <f t="shared" si="5"/>
        <v>0</v>
      </c>
    </row>
    <row r="61" spans="2:38" ht="17.25" customHeight="1" x14ac:dyDescent="0.2">
      <c r="B61" s="128"/>
      <c r="D61" s="152"/>
      <c r="E61" s="100"/>
      <c r="G61" s="417" t="s">
        <v>185</v>
      </c>
      <c r="H61" s="418">
        <f>IF(E41&gt;0,ROUND(E59/$E$41,6),0)</f>
        <v>6.8900000000000003E-2</v>
      </c>
      <c r="I61" s="105"/>
      <c r="R61" s="129" t="str">
        <f t="shared" si="12"/>
        <v/>
      </c>
      <c r="S61" s="451"/>
      <c r="T61" s="452"/>
      <c r="U61" s="130">
        <f t="shared" si="6"/>
        <v>0</v>
      </c>
      <c r="V61" s="125"/>
      <c r="W61" s="201" t="str">
        <f t="shared" si="13"/>
        <v>-</v>
      </c>
      <c r="X61" s="198">
        <f t="shared" si="0"/>
        <v>0</v>
      </c>
      <c r="Y61" s="199">
        <f t="shared" si="14"/>
        <v>0</v>
      </c>
      <c r="Z61" s="210">
        <f t="shared" si="7"/>
        <v>0</v>
      </c>
      <c r="AA61" s="201" t="str">
        <f t="shared" si="30"/>
        <v>-</v>
      </c>
      <c r="AB61" s="198">
        <f t="shared" si="24"/>
        <v>0</v>
      </c>
      <c r="AC61" s="202">
        <f t="shared" si="31"/>
        <v>0</v>
      </c>
      <c r="AD61" s="210">
        <f t="shared" si="29"/>
        <v>0</v>
      </c>
      <c r="AE61" s="321" t="str">
        <f t="shared" si="15"/>
        <v>-</v>
      </c>
      <c r="AF61" s="198">
        <f t="shared" si="3"/>
        <v>0</v>
      </c>
      <c r="AG61" s="322">
        <f t="shared" si="10"/>
        <v>0</v>
      </c>
      <c r="AH61" s="319">
        <f t="shared" si="17"/>
        <v>0</v>
      </c>
      <c r="AI61" s="321" t="str">
        <f t="shared" si="28"/>
        <v>-</v>
      </c>
      <c r="AJ61" s="198">
        <f t="shared" si="25"/>
        <v>0</v>
      </c>
      <c r="AK61" s="322">
        <f t="shared" si="16"/>
        <v>0</v>
      </c>
      <c r="AL61" s="326">
        <f t="shared" si="5"/>
        <v>0</v>
      </c>
    </row>
    <row r="62" spans="2:38" ht="17.25" customHeight="1" x14ac:dyDescent="0.2">
      <c r="B62" s="128"/>
      <c r="D62" s="538" t="s">
        <v>151</v>
      </c>
      <c r="E62" s="538"/>
      <c r="F62" s="538"/>
      <c r="G62" s="539"/>
      <c r="H62" s="539"/>
      <c r="I62" s="105"/>
      <c r="R62" s="129" t="str">
        <f t="shared" si="12"/>
        <v/>
      </c>
      <c r="S62" s="451"/>
      <c r="T62" s="452"/>
      <c r="U62" s="130">
        <f t="shared" si="6"/>
        <v>0</v>
      </c>
      <c r="V62" s="125"/>
      <c r="W62" s="201" t="str">
        <f t="shared" si="13"/>
        <v>-</v>
      </c>
      <c r="X62" s="198">
        <f t="shared" ref="X62:X93" si="32">IF(AND(W62&lt;&gt;"-",$K$29&gt;=24),IF($O$27=6,S62,IF($E$41&gt;0,$E$41/($K$30-$K$31),1000000/($K$30-$K$31))),0)</f>
        <v>0</v>
      </c>
      <c r="Y62" s="199">
        <f t="shared" si="14"/>
        <v>0</v>
      </c>
      <c r="Z62" s="210">
        <f t="shared" si="7"/>
        <v>0</v>
      </c>
      <c r="AA62" s="201" t="str">
        <f t="shared" si="30"/>
        <v>-</v>
      </c>
      <c r="AB62" s="198">
        <f t="shared" si="24"/>
        <v>0</v>
      </c>
      <c r="AC62" s="202">
        <f t="shared" si="31"/>
        <v>0</v>
      </c>
      <c r="AD62" s="210">
        <f t="shared" si="29"/>
        <v>0</v>
      </c>
      <c r="AE62" s="321" t="str">
        <f t="shared" si="15"/>
        <v>-</v>
      </c>
      <c r="AF62" s="198">
        <f t="shared" ref="AF62:AF93" si="33">IF(AND(AE62&lt;&gt;"-",$K$29&gt;=24),IF($O$27=6,S62,IF($J$41&gt;0,$J$41/($K$30-$K$31),1000000/($K$30-$K$31))),0)</f>
        <v>0</v>
      </c>
      <c r="AG62" s="322">
        <f t="shared" si="10"/>
        <v>0</v>
      </c>
      <c r="AH62" s="319">
        <f t="shared" si="17"/>
        <v>0</v>
      </c>
      <c r="AI62" s="321" t="str">
        <f t="shared" si="28"/>
        <v>-</v>
      </c>
      <c r="AJ62" s="198">
        <f t="shared" si="25"/>
        <v>0</v>
      </c>
      <c r="AK62" s="322">
        <f t="shared" si="16"/>
        <v>0</v>
      </c>
      <c r="AL62" s="326">
        <f t="shared" si="5"/>
        <v>0</v>
      </c>
    </row>
    <row r="63" spans="2:38" ht="17.25" customHeight="1" x14ac:dyDescent="0.2">
      <c r="B63" s="128"/>
      <c r="C63" s="135"/>
      <c r="D63" s="124" t="s">
        <v>1</v>
      </c>
      <c r="E63" s="380"/>
      <c r="I63" s="106"/>
      <c r="R63" s="129" t="str">
        <f t="shared" si="12"/>
        <v/>
      </c>
      <c r="S63" s="451"/>
      <c r="T63" s="452"/>
      <c r="U63" s="130">
        <f t="shared" si="6"/>
        <v>0</v>
      </c>
      <c r="V63" s="125"/>
      <c r="W63" s="201" t="str">
        <f t="shared" si="13"/>
        <v>-</v>
      </c>
      <c r="X63" s="198">
        <f t="shared" si="32"/>
        <v>0</v>
      </c>
      <c r="Y63" s="199">
        <f t="shared" si="14"/>
        <v>0</v>
      </c>
      <c r="Z63" s="210">
        <f t="shared" si="7"/>
        <v>0</v>
      </c>
      <c r="AA63" s="201" t="str">
        <f t="shared" si="30"/>
        <v>-</v>
      </c>
      <c r="AB63" s="198">
        <f t="shared" si="24"/>
        <v>0</v>
      </c>
      <c r="AC63" s="202">
        <f t="shared" si="31"/>
        <v>0</v>
      </c>
      <c r="AD63" s="210">
        <f t="shared" si="29"/>
        <v>0</v>
      </c>
      <c r="AE63" s="321" t="str">
        <f t="shared" si="15"/>
        <v>-</v>
      </c>
      <c r="AF63" s="198">
        <f t="shared" si="33"/>
        <v>0</v>
      </c>
      <c r="AG63" s="322">
        <f t="shared" si="10"/>
        <v>0</v>
      </c>
      <c r="AH63" s="319">
        <f t="shared" si="17"/>
        <v>0</v>
      </c>
      <c r="AI63" s="321" t="str">
        <f t="shared" si="28"/>
        <v>-</v>
      </c>
      <c r="AJ63" s="198">
        <f t="shared" si="25"/>
        <v>0</v>
      </c>
      <c r="AK63" s="322">
        <f t="shared" si="16"/>
        <v>0</v>
      </c>
      <c r="AL63" s="326">
        <f t="shared" si="5"/>
        <v>0</v>
      </c>
    </row>
    <row r="64" spans="2:38" ht="17.25" customHeight="1" x14ac:dyDescent="0.2">
      <c r="D64" s="97" t="s">
        <v>98</v>
      </c>
      <c r="E64" s="381"/>
      <c r="G64" s="537" t="s">
        <v>198</v>
      </c>
      <c r="H64" s="537"/>
      <c r="I64" s="106"/>
      <c r="R64" s="129" t="str">
        <f t="shared" si="12"/>
        <v/>
      </c>
      <c r="S64" s="451"/>
      <c r="T64" s="452"/>
      <c r="U64" s="130">
        <f t="shared" si="6"/>
        <v>0</v>
      </c>
      <c r="V64" s="125"/>
      <c r="W64" s="201" t="str">
        <f t="shared" si="13"/>
        <v>-</v>
      </c>
      <c r="X64" s="198">
        <f t="shared" si="32"/>
        <v>0</v>
      </c>
      <c r="Y64" s="199">
        <f t="shared" si="14"/>
        <v>0</v>
      </c>
      <c r="Z64" s="210">
        <f t="shared" si="7"/>
        <v>0</v>
      </c>
      <c r="AA64" s="201" t="str">
        <f t="shared" si="30"/>
        <v>-</v>
      </c>
      <c r="AB64" s="198">
        <f t="shared" si="24"/>
        <v>0</v>
      </c>
      <c r="AC64" s="202">
        <f t="shared" si="31"/>
        <v>0</v>
      </c>
      <c r="AD64" s="210">
        <f t="shared" si="29"/>
        <v>0</v>
      </c>
      <c r="AE64" s="321" t="str">
        <f t="shared" si="15"/>
        <v>-</v>
      </c>
      <c r="AF64" s="198">
        <f t="shared" si="33"/>
        <v>0</v>
      </c>
      <c r="AG64" s="322">
        <f t="shared" si="10"/>
        <v>0</v>
      </c>
      <c r="AH64" s="319">
        <f t="shared" si="17"/>
        <v>0</v>
      </c>
      <c r="AI64" s="321" t="str">
        <f t="shared" si="28"/>
        <v>-</v>
      </c>
      <c r="AJ64" s="198">
        <f t="shared" si="25"/>
        <v>0</v>
      </c>
      <c r="AK64" s="322">
        <f t="shared" si="16"/>
        <v>0</v>
      </c>
      <c r="AL64" s="326">
        <f t="shared" si="5"/>
        <v>0</v>
      </c>
    </row>
    <row r="65" spans="2:38" ht="17.25" customHeight="1" x14ac:dyDescent="0.2">
      <c r="G65" s="537"/>
      <c r="H65" s="537"/>
      <c r="I65" s="106"/>
      <c r="R65" s="129" t="str">
        <f t="shared" si="12"/>
        <v/>
      </c>
      <c r="S65" s="451"/>
      <c r="T65" s="452"/>
      <c r="U65" s="130">
        <f t="shared" si="6"/>
        <v>0</v>
      </c>
      <c r="V65" s="125"/>
      <c r="W65" s="201" t="str">
        <f t="shared" si="13"/>
        <v>-</v>
      </c>
      <c r="X65" s="198">
        <f t="shared" si="32"/>
        <v>0</v>
      </c>
      <c r="Y65" s="199">
        <f t="shared" si="14"/>
        <v>0</v>
      </c>
      <c r="Z65" s="210">
        <f t="shared" si="7"/>
        <v>0</v>
      </c>
      <c r="AA65" s="201" t="str">
        <f t="shared" si="30"/>
        <v>-</v>
      </c>
      <c r="AB65" s="198">
        <f t="shared" si="24"/>
        <v>0</v>
      </c>
      <c r="AC65" s="202">
        <f t="shared" si="31"/>
        <v>0</v>
      </c>
      <c r="AD65" s="210">
        <f t="shared" si="29"/>
        <v>0</v>
      </c>
      <c r="AE65" s="321" t="str">
        <f t="shared" si="15"/>
        <v>-</v>
      </c>
      <c r="AF65" s="198">
        <f t="shared" si="33"/>
        <v>0</v>
      </c>
      <c r="AG65" s="322">
        <f t="shared" si="10"/>
        <v>0</v>
      </c>
      <c r="AH65" s="319">
        <f t="shared" si="17"/>
        <v>0</v>
      </c>
      <c r="AI65" s="321" t="str">
        <f t="shared" si="28"/>
        <v>-</v>
      </c>
      <c r="AJ65" s="198">
        <f t="shared" si="25"/>
        <v>0</v>
      </c>
      <c r="AK65" s="322">
        <f t="shared" si="16"/>
        <v>0</v>
      </c>
      <c r="AL65" s="326">
        <f t="shared" si="5"/>
        <v>0</v>
      </c>
    </row>
    <row r="66" spans="2:38" ht="17.25" customHeight="1" x14ac:dyDescent="0.2">
      <c r="B66" s="125"/>
      <c r="C66" s="125"/>
      <c r="E66" s="97"/>
      <c r="G66" s="537"/>
      <c r="H66" s="537"/>
      <c r="I66" s="107"/>
      <c r="K66" s="158"/>
      <c r="R66" s="129" t="str">
        <f t="shared" si="12"/>
        <v/>
      </c>
      <c r="S66" s="451"/>
      <c r="T66" s="452"/>
      <c r="U66" s="130">
        <f t="shared" si="6"/>
        <v>0</v>
      </c>
      <c r="W66" s="201" t="str">
        <f t="shared" si="13"/>
        <v>-</v>
      </c>
      <c r="X66" s="198">
        <f t="shared" si="32"/>
        <v>0</v>
      </c>
      <c r="Y66" s="199">
        <f t="shared" si="14"/>
        <v>0</v>
      </c>
      <c r="Z66" s="210">
        <f t="shared" si="7"/>
        <v>0</v>
      </c>
      <c r="AA66" s="201" t="str">
        <f t="shared" si="30"/>
        <v>-</v>
      </c>
      <c r="AB66" s="198">
        <f t="shared" si="24"/>
        <v>0</v>
      </c>
      <c r="AC66" s="202">
        <f t="shared" si="31"/>
        <v>0</v>
      </c>
      <c r="AD66" s="210">
        <f t="shared" si="29"/>
        <v>0</v>
      </c>
      <c r="AE66" s="321" t="str">
        <f t="shared" si="15"/>
        <v>-</v>
      </c>
      <c r="AF66" s="198">
        <f t="shared" si="33"/>
        <v>0</v>
      </c>
      <c r="AG66" s="322">
        <f t="shared" si="10"/>
        <v>0</v>
      </c>
      <c r="AH66" s="319">
        <f t="shared" si="17"/>
        <v>0</v>
      </c>
      <c r="AI66" s="321" t="str">
        <f t="shared" si="28"/>
        <v>-</v>
      </c>
      <c r="AJ66" s="198">
        <f t="shared" si="25"/>
        <v>0</v>
      </c>
      <c r="AK66" s="322">
        <f t="shared" si="16"/>
        <v>0</v>
      </c>
      <c r="AL66" s="326">
        <f t="shared" si="5"/>
        <v>0</v>
      </c>
    </row>
    <row r="67" spans="2:38" ht="17.25" customHeight="1" x14ac:dyDescent="0.2">
      <c r="B67" s="136"/>
      <c r="C67" s="136"/>
      <c r="D67" s="137"/>
      <c r="G67" s="537"/>
      <c r="H67" s="537"/>
      <c r="I67" s="107"/>
      <c r="J67" s="105"/>
      <c r="K67" s="158"/>
      <c r="R67" s="129" t="str">
        <f t="shared" si="12"/>
        <v/>
      </c>
      <c r="S67" s="451"/>
      <c r="T67" s="452"/>
      <c r="U67" s="130">
        <f t="shared" si="6"/>
        <v>0</v>
      </c>
      <c r="W67" s="201" t="str">
        <f t="shared" si="13"/>
        <v>-</v>
      </c>
      <c r="X67" s="198">
        <f t="shared" si="32"/>
        <v>0</v>
      </c>
      <c r="Y67" s="199">
        <f t="shared" si="14"/>
        <v>0</v>
      </c>
      <c r="Z67" s="210">
        <f t="shared" si="7"/>
        <v>0</v>
      </c>
      <c r="AA67" s="201" t="str">
        <f t="shared" si="30"/>
        <v>-</v>
      </c>
      <c r="AB67" s="198">
        <f t="shared" si="24"/>
        <v>0</v>
      </c>
      <c r="AC67" s="202">
        <f t="shared" si="31"/>
        <v>0</v>
      </c>
      <c r="AD67" s="210">
        <f t="shared" si="29"/>
        <v>0</v>
      </c>
      <c r="AE67" s="321" t="str">
        <f t="shared" si="15"/>
        <v>-</v>
      </c>
      <c r="AF67" s="198">
        <f t="shared" si="33"/>
        <v>0</v>
      </c>
      <c r="AG67" s="322">
        <f t="shared" si="10"/>
        <v>0</v>
      </c>
      <c r="AH67" s="319">
        <f t="shared" si="17"/>
        <v>0</v>
      </c>
      <c r="AI67" s="321" t="str">
        <f t="shared" si="28"/>
        <v>-</v>
      </c>
      <c r="AJ67" s="198">
        <f t="shared" si="25"/>
        <v>0</v>
      </c>
      <c r="AK67" s="322">
        <f t="shared" si="16"/>
        <v>0</v>
      </c>
      <c r="AL67" s="326">
        <f t="shared" si="5"/>
        <v>0</v>
      </c>
    </row>
    <row r="68" spans="2:38" ht="17.25" customHeight="1" x14ac:dyDescent="0.2">
      <c r="B68" s="136"/>
      <c r="C68" s="136"/>
      <c r="D68" s="97"/>
      <c r="G68" s="125"/>
      <c r="H68" s="125"/>
      <c r="I68" s="119"/>
      <c r="J68" s="105"/>
      <c r="K68" s="172"/>
      <c r="L68" s="167"/>
      <c r="M68" s="167"/>
      <c r="N68" s="167"/>
      <c r="O68" s="167"/>
      <c r="R68" s="129" t="str">
        <f t="shared" si="12"/>
        <v/>
      </c>
      <c r="S68" s="451"/>
      <c r="T68" s="452"/>
      <c r="U68" s="130">
        <f t="shared" si="6"/>
        <v>0</v>
      </c>
      <c r="W68" s="201" t="str">
        <f t="shared" si="13"/>
        <v>-</v>
      </c>
      <c r="X68" s="198">
        <f t="shared" si="32"/>
        <v>0</v>
      </c>
      <c r="Y68" s="199">
        <f t="shared" si="14"/>
        <v>0</v>
      </c>
      <c r="Z68" s="210">
        <f t="shared" si="7"/>
        <v>0</v>
      </c>
      <c r="AA68" s="201" t="str">
        <f t="shared" si="30"/>
        <v>-</v>
      </c>
      <c r="AB68" s="198">
        <f t="shared" si="24"/>
        <v>0</v>
      </c>
      <c r="AC68" s="202">
        <f t="shared" si="31"/>
        <v>0</v>
      </c>
      <c r="AD68" s="210">
        <f t="shared" si="29"/>
        <v>0</v>
      </c>
      <c r="AE68" s="321" t="str">
        <f t="shared" si="15"/>
        <v>-</v>
      </c>
      <c r="AF68" s="198">
        <f t="shared" si="33"/>
        <v>0</v>
      </c>
      <c r="AG68" s="322">
        <f t="shared" si="10"/>
        <v>0</v>
      </c>
      <c r="AH68" s="319">
        <f t="shared" si="17"/>
        <v>0</v>
      </c>
      <c r="AI68" s="321" t="str">
        <f t="shared" si="28"/>
        <v>-</v>
      </c>
      <c r="AJ68" s="198">
        <f t="shared" si="25"/>
        <v>0</v>
      </c>
      <c r="AK68" s="322">
        <f t="shared" si="16"/>
        <v>0</v>
      </c>
      <c r="AL68" s="326">
        <f t="shared" si="5"/>
        <v>0</v>
      </c>
    </row>
    <row r="69" spans="2:38" ht="17.25" customHeight="1" x14ac:dyDescent="0.2">
      <c r="B69" s="136"/>
      <c r="C69" s="136"/>
      <c r="D69" s="97"/>
      <c r="G69" s="125"/>
      <c r="H69" s="125"/>
      <c r="I69" s="119"/>
      <c r="J69" s="106"/>
      <c r="K69" s="172"/>
      <c r="L69" s="167"/>
      <c r="M69" s="167"/>
      <c r="N69" s="167"/>
      <c r="O69" s="167"/>
      <c r="Q69" s="167"/>
      <c r="R69" s="129" t="str">
        <f t="shared" si="12"/>
        <v/>
      </c>
      <c r="S69" s="451"/>
      <c r="T69" s="452"/>
      <c r="U69" s="130">
        <f t="shared" si="6"/>
        <v>0</v>
      </c>
      <c r="W69" s="201" t="str">
        <f t="shared" si="13"/>
        <v>-</v>
      </c>
      <c r="X69" s="198">
        <f t="shared" si="32"/>
        <v>0</v>
      </c>
      <c r="Y69" s="199">
        <f t="shared" si="14"/>
        <v>0</v>
      </c>
      <c r="Z69" s="210">
        <f t="shared" si="7"/>
        <v>0</v>
      </c>
      <c r="AA69" s="201" t="str">
        <f t="shared" si="30"/>
        <v>-</v>
      </c>
      <c r="AB69" s="198">
        <f t="shared" si="24"/>
        <v>0</v>
      </c>
      <c r="AC69" s="202">
        <f t="shared" si="31"/>
        <v>0</v>
      </c>
      <c r="AD69" s="210">
        <f t="shared" si="29"/>
        <v>0</v>
      </c>
      <c r="AE69" s="321" t="str">
        <f t="shared" si="15"/>
        <v>-</v>
      </c>
      <c r="AF69" s="198">
        <f t="shared" si="33"/>
        <v>0</v>
      </c>
      <c r="AG69" s="322">
        <f t="shared" si="10"/>
        <v>0</v>
      </c>
      <c r="AH69" s="319">
        <f t="shared" si="17"/>
        <v>0</v>
      </c>
      <c r="AI69" s="321" t="str">
        <f t="shared" si="28"/>
        <v>-</v>
      </c>
      <c r="AJ69" s="198">
        <f t="shared" si="25"/>
        <v>0</v>
      </c>
      <c r="AK69" s="322">
        <f t="shared" si="16"/>
        <v>0</v>
      </c>
      <c r="AL69" s="326">
        <f t="shared" si="5"/>
        <v>0</v>
      </c>
    </row>
    <row r="70" spans="2:38" s="125" customFormat="1" ht="17.25" customHeight="1" x14ac:dyDescent="0.2">
      <c r="B70" s="101"/>
      <c r="C70" s="101"/>
      <c r="D70" s="144"/>
      <c r="E70" s="101"/>
      <c r="F70" s="101"/>
      <c r="I70" s="120"/>
      <c r="J70" s="106"/>
      <c r="K70" s="167"/>
      <c r="L70" s="167"/>
      <c r="M70" s="167"/>
      <c r="N70" s="167"/>
      <c r="O70" s="167"/>
      <c r="P70" s="159"/>
      <c r="Q70" s="167"/>
      <c r="R70" s="129" t="str">
        <f t="shared" si="12"/>
        <v/>
      </c>
      <c r="S70" s="451"/>
      <c r="T70" s="452"/>
      <c r="U70" s="130">
        <f t="shared" si="6"/>
        <v>0</v>
      </c>
      <c r="V70" s="101"/>
      <c r="W70" s="201" t="str">
        <f t="shared" si="13"/>
        <v>-</v>
      </c>
      <c r="X70" s="198">
        <f t="shared" si="32"/>
        <v>0</v>
      </c>
      <c r="Y70" s="199">
        <f t="shared" si="14"/>
        <v>0</v>
      </c>
      <c r="Z70" s="210">
        <f t="shared" si="7"/>
        <v>0</v>
      </c>
      <c r="AA70" s="201" t="str">
        <f t="shared" si="30"/>
        <v>-</v>
      </c>
      <c r="AB70" s="198">
        <f t="shared" si="24"/>
        <v>0</v>
      </c>
      <c r="AC70" s="202">
        <f t="shared" si="31"/>
        <v>0</v>
      </c>
      <c r="AD70" s="210">
        <f t="shared" si="29"/>
        <v>0</v>
      </c>
      <c r="AE70" s="321" t="str">
        <f t="shared" si="15"/>
        <v>-</v>
      </c>
      <c r="AF70" s="198">
        <f t="shared" si="33"/>
        <v>0</v>
      </c>
      <c r="AG70" s="322">
        <f t="shared" si="10"/>
        <v>0</v>
      </c>
      <c r="AH70" s="319">
        <f t="shared" si="17"/>
        <v>0</v>
      </c>
      <c r="AI70" s="321" t="str">
        <f t="shared" si="28"/>
        <v>-</v>
      </c>
      <c r="AJ70" s="198">
        <f t="shared" si="25"/>
        <v>0</v>
      </c>
      <c r="AK70" s="322">
        <f t="shared" si="16"/>
        <v>0</v>
      </c>
      <c r="AL70" s="326">
        <f t="shared" si="5"/>
        <v>0</v>
      </c>
    </row>
    <row r="71" spans="2:38" s="125" customFormat="1" ht="17.25" customHeight="1" x14ac:dyDescent="0.2">
      <c r="B71" s="101"/>
      <c r="C71" s="101"/>
      <c r="D71" s="101"/>
      <c r="E71" s="101"/>
      <c r="F71" s="101"/>
      <c r="I71" s="119"/>
      <c r="J71" s="106"/>
      <c r="K71" s="173" t="s">
        <v>74</v>
      </c>
      <c r="L71" s="174">
        <v>5</v>
      </c>
      <c r="M71" s="174">
        <v>6</v>
      </c>
      <c r="N71" s="174"/>
      <c r="O71" s="174">
        <v>7</v>
      </c>
      <c r="P71" s="167"/>
      <c r="Q71" s="167"/>
      <c r="R71" s="129" t="str">
        <f t="shared" si="12"/>
        <v/>
      </c>
      <c r="S71" s="451"/>
      <c r="T71" s="452"/>
      <c r="U71" s="130">
        <f t="shared" si="6"/>
        <v>0</v>
      </c>
      <c r="V71" s="101"/>
      <c r="W71" s="201" t="str">
        <f t="shared" si="13"/>
        <v>-</v>
      </c>
      <c r="X71" s="198">
        <f t="shared" si="32"/>
        <v>0</v>
      </c>
      <c r="Y71" s="199">
        <f t="shared" si="14"/>
        <v>0</v>
      </c>
      <c r="Z71" s="210">
        <f t="shared" si="7"/>
        <v>0</v>
      </c>
      <c r="AA71" s="201" t="str">
        <f t="shared" si="30"/>
        <v>-</v>
      </c>
      <c r="AB71" s="198">
        <f t="shared" si="24"/>
        <v>0</v>
      </c>
      <c r="AC71" s="202">
        <f t="shared" si="31"/>
        <v>0</v>
      </c>
      <c r="AD71" s="210">
        <f t="shared" si="29"/>
        <v>0</v>
      </c>
      <c r="AE71" s="321" t="str">
        <f t="shared" si="15"/>
        <v>-</v>
      </c>
      <c r="AF71" s="198">
        <f t="shared" si="33"/>
        <v>0</v>
      </c>
      <c r="AG71" s="322">
        <f t="shared" si="10"/>
        <v>0</v>
      </c>
      <c r="AH71" s="319">
        <f t="shared" si="17"/>
        <v>0</v>
      </c>
      <c r="AI71" s="321" t="str">
        <f t="shared" si="28"/>
        <v>-</v>
      </c>
      <c r="AJ71" s="198">
        <f t="shared" si="25"/>
        <v>0</v>
      </c>
      <c r="AK71" s="322">
        <f t="shared" si="16"/>
        <v>0</v>
      </c>
      <c r="AL71" s="326">
        <f t="shared" si="5"/>
        <v>0</v>
      </c>
    </row>
    <row r="72" spans="2:38" s="125" customFormat="1" ht="17.25" customHeight="1" thickBot="1" x14ac:dyDescent="0.25">
      <c r="B72" s="101"/>
      <c r="C72" s="101"/>
      <c r="D72" s="101"/>
      <c r="E72" s="101"/>
      <c r="F72" s="101"/>
      <c r="G72" s="101"/>
      <c r="H72" s="101"/>
      <c r="I72" s="105"/>
      <c r="J72" s="107"/>
      <c r="K72" s="173" t="s">
        <v>84</v>
      </c>
      <c r="L72" s="173" t="s">
        <v>84</v>
      </c>
      <c r="M72" s="173" t="s">
        <v>84</v>
      </c>
      <c r="N72" s="173"/>
      <c r="O72" s="173" t="s">
        <v>84</v>
      </c>
      <c r="P72" s="173" t="s">
        <v>84</v>
      </c>
      <c r="Q72" s="167"/>
      <c r="R72" s="129" t="str">
        <f t="shared" si="12"/>
        <v/>
      </c>
      <c r="S72" s="451"/>
      <c r="T72" s="452"/>
      <c r="U72" s="130">
        <f t="shared" si="6"/>
        <v>0</v>
      </c>
      <c r="V72" s="101"/>
      <c r="W72" s="201" t="str">
        <f t="shared" si="13"/>
        <v>-</v>
      </c>
      <c r="X72" s="198">
        <f t="shared" si="32"/>
        <v>0</v>
      </c>
      <c r="Y72" s="199">
        <f t="shared" si="14"/>
        <v>0</v>
      </c>
      <c r="Z72" s="210">
        <f t="shared" si="7"/>
        <v>0</v>
      </c>
      <c r="AA72" s="201" t="str">
        <f t="shared" si="30"/>
        <v>-</v>
      </c>
      <c r="AB72" s="198">
        <f t="shared" si="24"/>
        <v>0</v>
      </c>
      <c r="AC72" s="202">
        <f t="shared" si="31"/>
        <v>0</v>
      </c>
      <c r="AD72" s="210">
        <f t="shared" si="29"/>
        <v>0</v>
      </c>
      <c r="AE72" s="321" t="str">
        <f t="shared" si="15"/>
        <v>-</v>
      </c>
      <c r="AF72" s="198">
        <f t="shared" si="33"/>
        <v>0</v>
      </c>
      <c r="AG72" s="322">
        <f t="shared" si="10"/>
        <v>0</v>
      </c>
      <c r="AH72" s="319">
        <f t="shared" si="17"/>
        <v>0</v>
      </c>
      <c r="AI72" s="321" t="str">
        <f t="shared" si="28"/>
        <v>-</v>
      </c>
      <c r="AJ72" s="198">
        <f t="shared" si="25"/>
        <v>0</v>
      </c>
      <c r="AK72" s="322">
        <f t="shared" si="16"/>
        <v>0</v>
      </c>
      <c r="AL72" s="326">
        <f t="shared" si="5"/>
        <v>0</v>
      </c>
    </row>
    <row r="73" spans="2:38" s="125" customFormat="1" ht="17.25" customHeight="1" x14ac:dyDescent="0.2">
      <c r="B73" s="101"/>
      <c r="C73" s="101"/>
      <c r="D73" s="101"/>
      <c r="E73" s="101"/>
      <c r="F73" s="101"/>
      <c r="G73" s="101"/>
      <c r="H73" s="101"/>
      <c r="I73" s="105"/>
      <c r="J73" s="107"/>
      <c r="K73" s="175" t="s">
        <v>7</v>
      </c>
      <c r="L73" s="175" t="s">
        <v>7</v>
      </c>
      <c r="M73" s="175" t="s">
        <v>7</v>
      </c>
      <c r="N73" s="175"/>
      <c r="O73" s="175" t="s">
        <v>7</v>
      </c>
      <c r="P73" s="176" t="s">
        <v>69</v>
      </c>
      <c r="Q73" s="167"/>
      <c r="R73" s="129" t="str">
        <f t="shared" si="12"/>
        <v/>
      </c>
      <c r="S73" s="451"/>
      <c r="T73" s="452"/>
      <c r="U73" s="130">
        <f t="shared" si="6"/>
        <v>0</v>
      </c>
      <c r="V73" s="101"/>
      <c r="W73" s="201" t="str">
        <f t="shared" si="13"/>
        <v>-</v>
      </c>
      <c r="X73" s="198">
        <f t="shared" si="32"/>
        <v>0</v>
      </c>
      <c r="Y73" s="199">
        <f t="shared" si="14"/>
        <v>0</v>
      </c>
      <c r="Z73" s="210">
        <f t="shared" si="7"/>
        <v>0</v>
      </c>
      <c r="AA73" s="201" t="str">
        <f t="shared" si="30"/>
        <v>-</v>
      </c>
      <c r="AB73" s="198">
        <f t="shared" si="24"/>
        <v>0</v>
      </c>
      <c r="AC73" s="202">
        <f t="shared" si="31"/>
        <v>0</v>
      </c>
      <c r="AD73" s="210">
        <f t="shared" si="29"/>
        <v>0</v>
      </c>
      <c r="AE73" s="321" t="str">
        <f t="shared" si="15"/>
        <v>-</v>
      </c>
      <c r="AF73" s="198">
        <f t="shared" si="33"/>
        <v>0</v>
      </c>
      <c r="AG73" s="322">
        <f t="shared" si="10"/>
        <v>0</v>
      </c>
      <c r="AH73" s="319">
        <f t="shared" si="17"/>
        <v>0</v>
      </c>
      <c r="AI73" s="321" t="str">
        <f t="shared" si="28"/>
        <v>-</v>
      </c>
      <c r="AJ73" s="198">
        <f t="shared" si="25"/>
        <v>0</v>
      </c>
      <c r="AK73" s="322">
        <f t="shared" si="16"/>
        <v>0</v>
      </c>
      <c r="AL73" s="326">
        <f t="shared" si="5"/>
        <v>0</v>
      </c>
    </row>
    <row r="74" spans="2:38" s="125" customFormat="1" ht="17.25" customHeight="1" thickBot="1" x14ac:dyDescent="0.25">
      <c r="B74" s="101"/>
      <c r="C74" s="101"/>
      <c r="D74" s="101"/>
      <c r="E74" s="101"/>
      <c r="F74" s="101"/>
      <c r="G74" s="101"/>
      <c r="H74" s="101"/>
      <c r="I74" s="97"/>
      <c r="J74" s="119"/>
      <c r="K74" s="177" t="s">
        <v>17</v>
      </c>
      <c r="L74" s="177" t="s">
        <v>17</v>
      </c>
      <c r="M74" s="177" t="s">
        <v>17</v>
      </c>
      <c r="N74" s="177"/>
      <c r="O74" s="177" t="s">
        <v>17</v>
      </c>
      <c r="P74" s="178" t="s">
        <v>70</v>
      </c>
      <c r="Q74" s="159"/>
      <c r="R74" s="129" t="str">
        <f t="shared" si="12"/>
        <v/>
      </c>
      <c r="S74" s="451"/>
      <c r="T74" s="452"/>
      <c r="U74" s="130">
        <f t="shared" si="6"/>
        <v>0</v>
      </c>
      <c r="V74" s="101"/>
      <c r="W74" s="201" t="str">
        <f t="shared" si="13"/>
        <v>-</v>
      </c>
      <c r="X74" s="198">
        <f t="shared" si="32"/>
        <v>0</v>
      </c>
      <c r="Y74" s="199">
        <f t="shared" si="14"/>
        <v>0</v>
      </c>
      <c r="Z74" s="210">
        <f t="shared" si="7"/>
        <v>0</v>
      </c>
      <c r="AA74" s="201" t="str">
        <f t="shared" si="30"/>
        <v>-</v>
      </c>
      <c r="AB74" s="198">
        <f t="shared" si="24"/>
        <v>0</v>
      </c>
      <c r="AC74" s="202">
        <f t="shared" si="31"/>
        <v>0</v>
      </c>
      <c r="AD74" s="210">
        <f t="shared" si="29"/>
        <v>0</v>
      </c>
      <c r="AE74" s="321" t="str">
        <f t="shared" si="15"/>
        <v>-</v>
      </c>
      <c r="AF74" s="198">
        <f t="shared" si="33"/>
        <v>0</v>
      </c>
      <c r="AG74" s="322">
        <f t="shared" si="10"/>
        <v>0</v>
      </c>
      <c r="AH74" s="319">
        <f t="shared" si="17"/>
        <v>0</v>
      </c>
      <c r="AI74" s="321" t="str">
        <f t="shared" si="28"/>
        <v>-</v>
      </c>
      <c r="AJ74" s="198">
        <f t="shared" si="25"/>
        <v>0</v>
      </c>
      <c r="AK74" s="322">
        <f t="shared" si="16"/>
        <v>0</v>
      </c>
      <c r="AL74" s="326">
        <f t="shared" si="5"/>
        <v>0</v>
      </c>
    </row>
    <row r="75" spans="2:38" ht="17.25" customHeight="1" x14ac:dyDescent="0.2">
      <c r="B75" s="526"/>
      <c r="C75" s="526"/>
      <c r="I75" s="97"/>
      <c r="J75" s="119"/>
      <c r="K75" s="177" t="s">
        <v>15</v>
      </c>
      <c r="L75" s="177" t="s">
        <v>15</v>
      </c>
      <c r="M75" s="177" t="s">
        <v>15</v>
      </c>
      <c r="N75" s="177"/>
      <c r="O75" s="177" t="s">
        <v>15</v>
      </c>
      <c r="P75" s="176" t="s">
        <v>64</v>
      </c>
      <c r="R75" s="129" t="str">
        <f t="shared" si="12"/>
        <v/>
      </c>
      <c r="S75" s="451"/>
      <c r="T75" s="452"/>
      <c r="U75" s="130">
        <f t="shared" si="6"/>
        <v>0</v>
      </c>
      <c r="W75" s="201" t="str">
        <f t="shared" si="13"/>
        <v>-</v>
      </c>
      <c r="X75" s="198">
        <f t="shared" si="32"/>
        <v>0</v>
      </c>
      <c r="Y75" s="199">
        <f t="shared" si="14"/>
        <v>0</v>
      </c>
      <c r="Z75" s="210">
        <f t="shared" si="7"/>
        <v>0</v>
      </c>
      <c r="AA75" s="201" t="str">
        <f t="shared" si="30"/>
        <v>-</v>
      </c>
      <c r="AB75" s="198">
        <f t="shared" si="24"/>
        <v>0</v>
      </c>
      <c r="AC75" s="202">
        <f t="shared" si="31"/>
        <v>0</v>
      </c>
      <c r="AD75" s="210">
        <f t="shared" si="29"/>
        <v>0</v>
      </c>
      <c r="AE75" s="321" t="str">
        <f t="shared" si="15"/>
        <v>-</v>
      </c>
      <c r="AF75" s="198">
        <f t="shared" si="33"/>
        <v>0</v>
      </c>
      <c r="AG75" s="322">
        <f t="shared" si="10"/>
        <v>0</v>
      </c>
      <c r="AH75" s="319">
        <f t="shared" si="17"/>
        <v>0</v>
      </c>
      <c r="AI75" s="321" t="str">
        <f t="shared" si="28"/>
        <v>-</v>
      </c>
      <c r="AJ75" s="198">
        <f t="shared" si="25"/>
        <v>0</v>
      </c>
      <c r="AK75" s="322">
        <f t="shared" si="16"/>
        <v>0</v>
      </c>
      <c r="AL75" s="326">
        <f t="shared" si="5"/>
        <v>0</v>
      </c>
    </row>
    <row r="76" spans="2:38" ht="17.25" customHeight="1" x14ac:dyDescent="0.2">
      <c r="B76" s="138"/>
      <c r="C76" s="138"/>
      <c r="I76" s="97"/>
      <c r="J76" s="120"/>
      <c r="K76" s="177" t="s">
        <v>202</v>
      </c>
      <c r="L76" s="177" t="s">
        <v>202</v>
      </c>
      <c r="M76" s="177" t="s">
        <v>202</v>
      </c>
      <c r="N76" s="177"/>
      <c r="O76" s="177" t="s">
        <v>202</v>
      </c>
      <c r="P76" s="176" t="s">
        <v>65</v>
      </c>
      <c r="R76" s="129" t="str">
        <f t="shared" si="12"/>
        <v/>
      </c>
      <c r="S76" s="451"/>
      <c r="T76" s="452"/>
      <c r="U76" s="130">
        <f t="shared" si="6"/>
        <v>0</v>
      </c>
      <c r="W76" s="201" t="str">
        <f t="shared" si="13"/>
        <v>-</v>
      </c>
      <c r="X76" s="198">
        <f t="shared" si="32"/>
        <v>0</v>
      </c>
      <c r="Y76" s="199">
        <f t="shared" si="14"/>
        <v>0</v>
      </c>
      <c r="Z76" s="210">
        <f t="shared" si="7"/>
        <v>0</v>
      </c>
      <c r="AA76" s="201" t="str">
        <f t="shared" si="30"/>
        <v>-</v>
      </c>
      <c r="AB76" s="198">
        <f t="shared" si="24"/>
        <v>0</v>
      </c>
      <c r="AC76" s="202">
        <f t="shared" si="31"/>
        <v>0</v>
      </c>
      <c r="AD76" s="210">
        <f t="shared" si="29"/>
        <v>0</v>
      </c>
      <c r="AE76" s="321" t="str">
        <f t="shared" si="15"/>
        <v>-</v>
      </c>
      <c r="AF76" s="198">
        <f t="shared" si="33"/>
        <v>0</v>
      </c>
      <c r="AG76" s="322">
        <f t="shared" si="10"/>
        <v>0</v>
      </c>
      <c r="AH76" s="319">
        <f t="shared" si="17"/>
        <v>0</v>
      </c>
      <c r="AI76" s="321" t="str">
        <f t="shared" si="28"/>
        <v>-</v>
      </c>
      <c r="AJ76" s="198">
        <f t="shared" si="25"/>
        <v>0</v>
      </c>
      <c r="AK76" s="322">
        <f t="shared" si="16"/>
        <v>0</v>
      </c>
      <c r="AL76" s="326">
        <f t="shared" si="5"/>
        <v>0</v>
      </c>
    </row>
    <row r="77" spans="2:38" ht="17.25" customHeight="1" x14ac:dyDescent="0.2">
      <c r="B77" s="526"/>
      <c r="C77" s="526"/>
      <c r="I77" s="97"/>
      <c r="J77" s="119"/>
      <c r="K77" s="177" t="s">
        <v>203</v>
      </c>
      <c r="L77" s="177" t="s">
        <v>203</v>
      </c>
      <c r="M77" s="177" t="s">
        <v>203</v>
      </c>
      <c r="N77" s="177"/>
      <c r="O77" s="177" t="s">
        <v>203</v>
      </c>
      <c r="P77" s="176" t="s">
        <v>66</v>
      </c>
      <c r="R77" s="129" t="str">
        <f t="shared" si="12"/>
        <v/>
      </c>
      <c r="S77" s="451"/>
      <c r="T77" s="452"/>
      <c r="U77" s="130">
        <f t="shared" si="6"/>
        <v>0</v>
      </c>
      <c r="W77" s="201" t="str">
        <f t="shared" si="13"/>
        <v>-</v>
      </c>
      <c r="X77" s="198">
        <f t="shared" si="32"/>
        <v>0</v>
      </c>
      <c r="Y77" s="199">
        <f t="shared" si="14"/>
        <v>0</v>
      </c>
      <c r="Z77" s="210">
        <f t="shared" si="7"/>
        <v>0</v>
      </c>
      <c r="AA77" s="201" t="str">
        <f t="shared" si="30"/>
        <v>-</v>
      </c>
      <c r="AB77" s="198">
        <f t="shared" si="24"/>
        <v>0</v>
      </c>
      <c r="AC77" s="202">
        <f t="shared" si="31"/>
        <v>0</v>
      </c>
      <c r="AD77" s="210">
        <f t="shared" si="29"/>
        <v>0</v>
      </c>
      <c r="AE77" s="321" t="str">
        <f t="shared" si="15"/>
        <v>-</v>
      </c>
      <c r="AF77" s="198">
        <f t="shared" si="33"/>
        <v>0</v>
      </c>
      <c r="AG77" s="322">
        <f t="shared" si="10"/>
        <v>0</v>
      </c>
      <c r="AH77" s="319">
        <f t="shared" si="17"/>
        <v>0</v>
      </c>
      <c r="AI77" s="321" t="str">
        <f t="shared" si="28"/>
        <v>-</v>
      </c>
      <c r="AJ77" s="198">
        <f t="shared" si="25"/>
        <v>0</v>
      </c>
      <c r="AK77" s="322">
        <f t="shared" si="16"/>
        <v>0</v>
      </c>
      <c r="AL77" s="326">
        <f t="shared" si="5"/>
        <v>0</v>
      </c>
    </row>
    <row r="78" spans="2:38" ht="17.25" customHeight="1" x14ac:dyDescent="0.2">
      <c r="B78" s="138"/>
      <c r="C78" s="138"/>
      <c r="I78" s="105"/>
      <c r="J78" s="105"/>
      <c r="K78" s="177" t="s">
        <v>204</v>
      </c>
      <c r="L78" s="177" t="s">
        <v>204</v>
      </c>
      <c r="M78" s="177" t="s">
        <v>204</v>
      </c>
      <c r="N78" s="177"/>
      <c r="O78" s="177" t="s">
        <v>204</v>
      </c>
      <c r="P78" s="176" t="s">
        <v>67</v>
      </c>
      <c r="R78" s="129" t="str">
        <f t="shared" si="12"/>
        <v/>
      </c>
      <c r="S78" s="451"/>
      <c r="T78" s="452"/>
      <c r="U78" s="130">
        <f t="shared" si="6"/>
        <v>0</v>
      </c>
      <c r="W78" s="201" t="str">
        <f t="shared" si="13"/>
        <v>-</v>
      </c>
      <c r="X78" s="198">
        <f t="shared" si="32"/>
        <v>0</v>
      </c>
      <c r="Y78" s="199">
        <f t="shared" si="14"/>
        <v>0</v>
      </c>
      <c r="Z78" s="210">
        <f t="shared" si="7"/>
        <v>0</v>
      </c>
      <c r="AA78" s="201" t="str">
        <f t="shared" si="30"/>
        <v>-</v>
      </c>
      <c r="AB78" s="198">
        <f t="shared" si="24"/>
        <v>0</v>
      </c>
      <c r="AC78" s="202">
        <f t="shared" si="31"/>
        <v>0</v>
      </c>
      <c r="AD78" s="210">
        <f t="shared" si="29"/>
        <v>0</v>
      </c>
      <c r="AE78" s="321" t="str">
        <f t="shared" si="15"/>
        <v>-</v>
      </c>
      <c r="AF78" s="198">
        <f t="shared" si="33"/>
        <v>0</v>
      </c>
      <c r="AG78" s="322">
        <f t="shared" si="10"/>
        <v>0</v>
      </c>
      <c r="AH78" s="319">
        <f t="shared" si="17"/>
        <v>0</v>
      </c>
      <c r="AI78" s="321" t="str">
        <f t="shared" si="28"/>
        <v>-</v>
      </c>
      <c r="AJ78" s="198">
        <f t="shared" si="25"/>
        <v>0</v>
      </c>
      <c r="AK78" s="322">
        <f t="shared" si="16"/>
        <v>0</v>
      </c>
      <c r="AL78" s="326">
        <f t="shared" si="5"/>
        <v>0</v>
      </c>
    </row>
    <row r="79" spans="2:38" ht="17.25" customHeight="1" x14ac:dyDescent="0.2">
      <c r="B79" s="138"/>
      <c r="C79" s="138"/>
      <c r="I79" s="105"/>
      <c r="J79" s="105"/>
      <c r="K79" s="177" t="s">
        <v>205</v>
      </c>
      <c r="L79" s="177" t="s">
        <v>205</v>
      </c>
      <c r="M79" s="177" t="s">
        <v>205</v>
      </c>
      <c r="N79" s="177"/>
      <c r="O79" s="177" t="s">
        <v>75</v>
      </c>
      <c r="P79" s="176" t="s">
        <v>68</v>
      </c>
      <c r="R79" s="129" t="str">
        <f t="shared" si="12"/>
        <v/>
      </c>
      <c r="S79" s="451"/>
      <c r="T79" s="452"/>
      <c r="U79" s="130">
        <f t="shared" si="6"/>
        <v>0</v>
      </c>
      <c r="W79" s="201" t="str">
        <f t="shared" si="13"/>
        <v>-</v>
      </c>
      <c r="X79" s="198">
        <f t="shared" si="32"/>
        <v>0</v>
      </c>
      <c r="Y79" s="199">
        <f t="shared" si="14"/>
        <v>0</v>
      </c>
      <c r="Z79" s="210">
        <f t="shared" si="7"/>
        <v>0</v>
      </c>
      <c r="AA79" s="201" t="str">
        <f t="shared" si="30"/>
        <v>-</v>
      </c>
      <c r="AB79" s="198">
        <f t="shared" si="24"/>
        <v>0</v>
      </c>
      <c r="AC79" s="202">
        <f t="shared" si="31"/>
        <v>0</v>
      </c>
      <c r="AD79" s="210">
        <f t="shared" si="29"/>
        <v>0</v>
      </c>
      <c r="AE79" s="321" t="str">
        <f t="shared" si="15"/>
        <v>-</v>
      </c>
      <c r="AF79" s="198">
        <f t="shared" si="33"/>
        <v>0</v>
      </c>
      <c r="AG79" s="322">
        <f t="shared" si="10"/>
        <v>0</v>
      </c>
      <c r="AH79" s="319">
        <f t="shared" si="17"/>
        <v>0</v>
      </c>
      <c r="AI79" s="321" t="str">
        <f t="shared" si="28"/>
        <v>-</v>
      </c>
      <c r="AJ79" s="198">
        <f t="shared" si="25"/>
        <v>0</v>
      </c>
      <c r="AK79" s="322">
        <f t="shared" si="16"/>
        <v>0</v>
      </c>
      <c r="AL79" s="326">
        <f t="shared" si="5"/>
        <v>0</v>
      </c>
    </row>
    <row r="80" spans="2:38" ht="17.25" customHeight="1" x14ac:dyDescent="0.2">
      <c r="B80" s="138"/>
      <c r="C80" s="138"/>
      <c r="I80" s="105"/>
      <c r="J80" s="97"/>
      <c r="K80" s="177" t="s">
        <v>206</v>
      </c>
      <c r="L80" s="177" t="s">
        <v>206</v>
      </c>
      <c r="M80" s="177" t="s">
        <v>75</v>
      </c>
      <c r="N80" s="177"/>
      <c r="O80" s="177" t="s">
        <v>75</v>
      </c>
      <c r="P80" s="176" t="s">
        <v>52</v>
      </c>
      <c r="R80" s="129" t="str">
        <f t="shared" si="12"/>
        <v/>
      </c>
      <c r="S80" s="451"/>
      <c r="T80" s="452"/>
      <c r="U80" s="130">
        <f t="shared" si="6"/>
        <v>0</v>
      </c>
      <c r="W80" s="201" t="str">
        <f t="shared" si="13"/>
        <v>-</v>
      </c>
      <c r="X80" s="198">
        <f t="shared" si="32"/>
        <v>0</v>
      </c>
      <c r="Y80" s="199">
        <f t="shared" si="14"/>
        <v>0</v>
      </c>
      <c r="Z80" s="210">
        <f t="shared" si="7"/>
        <v>0</v>
      </c>
      <c r="AA80" s="201" t="str">
        <f t="shared" si="30"/>
        <v>-</v>
      </c>
      <c r="AB80" s="198">
        <f t="shared" si="24"/>
        <v>0</v>
      </c>
      <c r="AC80" s="202">
        <f t="shared" si="31"/>
        <v>0</v>
      </c>
      <c r="AD80" s="210">
        <f t="shared" si="29"/>
        <v>0</v>
      </c>
      <c r="AE80" s="321" t="str">
        <f t="shared" si="15"/>
        <v>-</v>
      </c>
      <c r="AF80" s="198">
        <f t="shared" si="33"/>
        <v>0</v>
      </c>
      <c r="AG80" s="322">
        <f t="shared" si="10"/>
        <v>0</v>
      </c>
      <c r="AH80" s="319">
        <f t="shared" si="17"/>
        <v>0</v>
      </c>
      <c r="AI80" s="321" t="str">
        <f t="shared" si="28"/>
        <v>-</v>
      </c>
      <c r="AJ80" s="198">
        <f t="shared" si="25"/>
        <v>0</v>
      </c>
      <c r="AK80" s="322">
        <f t="shared" si="16"/>
        <v>0</v>
      </c>
      <c r="AL80" s="326">
        <f t="shared" si="5"/>
        <v>0</v>
      </c>
    </row>
    <row r="81" spans="2:38" ht="17.25" customHeight="1" thickBot="1" x14ac:dyDescent="0.25">
      <c r="I81" s="105"/>
      <c r="J81" s="97"/>
      <c r="K81" s="179" t="s">
        <v>207</v>
      </c>
      <c r="L81" s="179" t="s">
        <v>75</v>
      </c>
      <c r="M81" s="179" t="s">
        <v>75</v>
      </c>
      <c r="N81" s="179"/>
      <c r="O81" s="179" t="s">
        <v>75</v>
      </c>
      <c r="P81" s="176" t="s">
        <v>55</v>
      </c>
      <c r="R81" s="129" t="str">
        <f t="shared" si="12"/>
        <v/>
      </c>
      <c r="S81" s="451"/>
      <c r="T81" s="452"/>
      <c r="U81" s="130">
        <f t="shared" si="6"/>
        <v>0</v>
      </c>
      <c r="W81" s="201" t="str">
        <f t="shared" si="13"/>
        <v>-</v>
      </c>
      <c r="X81" s="198">
        <f t="shared" si="32"/>
        <v>0</v>
      </c>
      <c r="Y81" s="199">
        <f t="shared" si="14"/>
        <v>0</v>
      </c>
      <c r="Z81" s="210">
        <f t="shared" si="7"/>
        <v>0</v>
      </c>
      <c r="AA81" s="201" t="str">
        <f t="shared" si="30"/>
        <v>-</v>
      </c>
      <c r="AB81" s="198">
        <f t="shared" si="24"/>
        <v>0</v>
      </c>
      <c r="AC81" s="202">
        <f t="shared" si="31"/>
        <v>0</v>
      </c>
      <c r="AD81" s="210">
        <f t="shared" si="29"/>
        <v>0</v>
      </c>
      <c r="AE81" s="321" t="str">
        <f t="shared" si="15"/>
        <v>-</v>
      </c>
      <c r="AF81" s="198">
        <f t="shared" si="33"/>
        <v>0</v>
      </c>
      <c r="AG81" s="322">
        <f t="shared" si="10"/>
        <v>0</v>
      </c>
      <c r="AH81" s="319">
        <f t="shared" si="17"/>
        <v>0</v>
      </c>
      <c r="AI81" s="321" t="str">
        <f t="shared" si="28"/>
        <v>-</v>
      </c>
      <c r="AJ81" s="198">
        <f t="shared" si="25"/>
        <v>0</v>
      </c>
      <c r="AK81" s="322">
        <f t="shared" si="16"/>
        <v>0</v>
      </c>
      <c r="AL81" s="326">
        <f t="shared" si="5"/>
        <v>0</v>
      </c>
    </row>
    <row r="82" spans="2:38" ht="17.25" customHeight="1" x14ac:dyDescent="0.2">
      <c r="I82" s="105"/>
      <c r="J82" s="97"/>
      <c r="P82" s="176" t="s">
        <v>57</v>
      </c>
      <c r="R82" s="129" t="str">
        <f t="shared" si="12"/>
        <v/>
      </c>
      <c r="S82" s="451"/>
      <c r="T82" s="452"/>
      <c r="U82" s="130">
        <f t="shared" si="6"/>
        <v>0</v>
      </c>
      <c r="W82" s="201" t="str">
        <f t="shared" si="13"/>
        <v>-</v>
      </c>
      <c r="X82" s="198">
        <f t="shared" si="32"/>
        <v>0</v>
      </c>
      <c r="Y82" s="199">
        <f t="shared" si="14"/>
        <v>0</v>
      </c>
      <c r="Z82" s="210">
        <f t="shared" si="7"/>
        <v>0</v>
      </c>
      <c r="AA82" s="201" t="str">
        <f t="shared" si="30"/>
        <v>-</v>
      </c>
      <c r="AB82" s="198">
        <f t="shared" si="24"/>
        <v>0</v>
      </c>
      <c r="AC82" s="202">
        <f t="shared" si="31"/>
        <v>0</v>
      </c>
      <c r="AD82" s="210">
        <f t="shared" si="29"/>
        <v>0</v>
      </c>
      <c r="AE82" s="321" t="str">
        <f t="shared" si="15"/>
        <v>-</v>
      </c>
      <c r="AF82" s="198">
        <f t="shared" si="33"/>
        <v>0</v>
      </c>
      <c r="AG82" s="322">
        <f t="shared" si="10"/>
        <v>0</v>
      </c>
      <c r="AH82" s="319">
        <f t="shared" si="17"/>
        <v>0</v>
      </c>
      <c r="AI82" s="321" t="str">
        <f t="shared" si="28"/>
        <v>-</v>
      </c>
      <c r="AJ82" s="198">
        <f t="shared" si="25"/>
        <v>0</v>
      </c>
      <c r="AK82" s="322">
        <f t="shared" si="16"/>
        <v>0</v>
      </c>
      <c r="AL82" s="326">
        <f t="shared" si="5"/>
        <v>0</v>
      </c>
    </row>
    <row r="83" spans="2:38" ht="17.25" customHeight="1" x14ac:dyDescent="0.2">
      <c r="I83" s="97"/>
      <c r="J83" s="97"/>
      <c r="P83" s="176" t="s">
        <v>58</v>
      </c>
      <c r="R83" s="129" t="str">
        <f t="shared" si="12"/>
        <v/>
      </c>
      <c r="S83" s="451"/>
      <c r="T83" s="452"/>
      <c r="U83" s="130">
        <f t="shared" si="6"/>
        <v>0</v>
      </c>
      <c r="W83" s="201" t="str">
        <f t="shared" si="13"/>
        <v>-</v>
      </c>
      <c r="X83" s="198">
        <f t="shared" si="32"/>
        <v>0</v>
      </c>
      <c r="Y83" s="199">
        <f t="shared" si="14"/>
        <v>0</v>
      </c>
      <c r="Z83" s="210">
        <f t="shared" si="7"/>
        <v>0</v>
      </c>
      <c r="AA83" s="201" t="str">
        <f t="shared" si="30"/>
        <v>-</v>
      </c>
      <c r="AB83" s="198">
        <f t="shared" si="24"/>
        <v>0</v>
      </c>
      <c r="AC83" s="202">
        <f t="shared" si="31"/>
        <v>0</v>
      </c>
      <c r="AD83" s="210">
        <f t="shared" si="29"/>
        <v>0</v>
      </c>
      <c r="AE83" s="321" t="str">
        <f t="shared" si="15"/>
        <v>-</v>
      </c>
      <c r="AF83" s="198">
        <f t="shared" si="33"/>
        <v>0</v>
      </c>
      <c r="AG83" s="322">
        <f t="shared" si="10"/>
        <v>0</v>
      </c>
      <c r="AH83" s="319">
        <f t="shared" si="17"/>
        <v>0</v>
      </c>
      <c r="AI83" s="321" t="str">
        <f t="shared" si="28"/>
        <v>-</v>
      </c>
      <c r="AJ83" s="198">
        <f t="shared" si="25"/>
        <v>0</v>
      </c>
      <c r="AK83" s="322">
        <f t="shared" si="16"/>
        <v>0</v>
      </c>
      <c r="AL83" s="326">
        <f t="shared" si="5"/>
        <v>0</v>
      </c>
    </row>
    <row r="84" spans="2:38" ht="17.25" customHeight="1" thickBot="1" x14ac:dyDescent="0.25">
      <c r="I84" s="97"/>
      <c r="J84" s="105"/>
      <c r="P84" s="178" t="s">
        <v>59</v>
      </c>
      <c r="R84" s="129" t="str">
        <f t="shared" si="12"/>
        <v/>
      </c>
      <c r="S84" s="451"/>
      <c r="T84" s="452"/>
      <c r="U84" s="130">
        <f t="shared" si="6"/>
        <v>0</v>
      </c>
      <c r="W84" s="201" t="str">
        <f t="shared" si="13"/>
        <v>-</v>
      </c>
      <c r="X84" s="198">
        <f t="shared" si="32"/>
        <v>0</v>
      </c>
      <c r="Y84" s="199">
        <f t="shared" si="14"/>
        <v>0</v>
      </c>
      <c r="Z84" s="210">
        <f t="shared" si="7"/>
        <v>0</v>
      </c>
      <c r="AA84" s="201" t="str">
        <f t="shared" si="30"/>
        <v>-</v>
      </c>
      <c r="AB84" s="198">
        <f t="shared" si="24"/>
        <v>0</v>
      </c>
      <c r="AC84" s="202">
        <f t="shared" si="31"/>
        <v>0</v>
      </c>
      <c r="AD84" s="210">
        <f t="shared" si="29"/>
        <v>0</v>
      </c>
      <c r="AE84" s="321" t="str">
        <f t="shared" si="15"/>
        <v>-</v>
      </c>
      <c r="AF84" s="198">
        <f t="shared" si="33"/>
        <v>0</v>
      </c>
      <c r="AG84" s="322">
        <f t="shared" si="10"/>
        <v>0</v>
      </c>
      <c r="AH84" s="319">
        <f t="shared" si="17"/>
        <v>0</v>
      </c>
      <c r="AI84" s="321" t="str">
        <f t="shared" si="28"/>
        <v>-</v>
      </c>
      <c r="AJ84" s="198">
        <f t="shared" si="25"/>
        <v>0</v>
      </c>
      <c r="AK84" s="322">
        <f t="shared" si="16"/>
        <v>0</v>
      </c>
      <c r="AL84" s="326">
        <f t="shared" si="5"/>
        <v>0</v>
      </c>
    </row>
    <row r="85" spans="2:38" ht="17.25" customHeight="1" x14ac:dyDescent="0.2">
      <c r="I85" s="97"/>
      <c r="J85" s="105"/>
      <c r="P85" s="176"/>
      <c r="R85" s="129" t="str">
        <f t="shared" si="12"/>
        <v/>
      </c>
      <c r="S85" s="451"/>
      <c r="T85" s="452"/>
      <c r="U85" s="130">
        <f t="shared" si="6"/>
        <v>0</v>
      </c>
      <c r="W85" s="201" t="str">
        <f t="shared" si="13"/>
        <v>-</v>
      </c>
      <c r="X85" s="198">
        <f t="shared" si="32"/>
        <v>0</v>
      </c>
      <c r="Y85" s="199">
        <f t="shared" si="14"/>
        <v>0</v>
      </c>
      <c r="Z85" s="210">
        <f t="shared" si="7"/>
        <v>0</v>
      </c>
      <c r="AA85" s="201" t="str">
        <f t="shared" si="30"/>
        <v>-</v>
      </c>
      <c r="AB85" s="198">
        <f t="shared" si="24"/>
        <v>0</v>
      </c>
      <c r="AC85" s="202">
        <f t="shared" si="31"/>
        <v>0</v>
      </c>
      <c r="AD85" s="210">
        <f t="shared" si="29"/>
        <v>0</v>
      </c>
      <c r="AE85" s="321" t="str">
        <f t="shared" si="15"/>
        <v>-</v>
      </c>
      <c r="AF85" s="198">
        <f t="shared" si="33"/>
        <v>0</v>
      </c>
      <c r="AG85" s="322">
        <f t="shared" si="10"/>
        <v>0</v>
      </c>
      <c r="AH85" s="319">
        <f t="shared" si="17"/>
        <v>0</v>
      </c>
      <c r="AI85" s="321" t="str">
        <f t="shared" si="28"/>
        <v>-</v>
      </c>
      <c r="AJ85" s="198">
        <f t="shared" si="25"/>
        <v>0</v>
      </c>
      <c r="AK85" s="322">
        <f t="shared" si="16"/>
        <v>0</v>
      </c>
      <c r="AL85" s="326">
        <f t="shared" si="5"/>
        <v>0</v>
      </c>
    </row>
    <row r="86" spans="2:38" ht="17.25" customHeight="1" x14ac:dyDescent="0.2">
      <c r="B86" s="526"/>
      <c r="C86" s="526"/>
      <c r="I86" s="97"/>
      <c r="J86" s="105"/>
      <c r="K86" s="158"/>
      <c r="R86" s="129" t="str">
        <f t="shared" si="12"/>
        <v/>
      </c>
      <c r="S86" s="451"/>
      <c r="T86" s="452"/>
      <c r="U86" s="130">
        <f t="shared" si="6"/>
        <v>0</v>
      </c>
      <c r="W86" s="201" t="str">
        <f t="shared" si="13"/>
        <v>-</v>
      </c>
      <c r="X86" s="198">
        <f t="shared" si="32"/>
        <v>0</v>
      </c>
      <c r="Y86" s="199">
        <f t="shared" si="14"/>
        <v>0</v>
      </c>
      <c r="Z86" s="210">
        <f t="shared" si="7"/>
        <v>0</v>
      </c>
      <c r="AA86" s="201" t="str">
        <f t="shared" si="30"/>
        <v>-</v>
      </c>
      <c r="AB86" s="198">
        <f t="shared" si="24"/>
        <v>0</v>
      </c>
      <c r="AC86" s="202">
        <f t="shared" si="31"/>
        <v>0</v>
      </c>
      <c r="AD86" s="210">
        <f t="shared" si="29"/>
        <v>0</v>
      </c>
      <c r="AE86" s="321" t="str">
        <f t="shared" si="15"/>
        <v>-</v>
      </c>
      <c r="AF86" s="198">
        <f t="shared" si="33"/>
        <v>0</v>
      </c>
      <c r="AG86" s="322">
        <f t="shared" si="10"/>
        <v>0</v>
      </c>
      <c r="AH86" s="319">
        <f t="shared" si="17"/>
        <v>0</v>
      </c>
      <c r="AI86" s="321" t="str">
        <f t="shared" si="28"/>
        <v>-</v>
      </c>
      <c r="AJ86" s="198">
        <f t="shared" si="25"/>
        <v>0</v>
      </c>
      <c r="AK86" s="322">
        <f t="shared" si="16"/>
        <v>0</v>
      </c>
      <c r="AL86" s="326">
        <f t="shared" si="5"/>
        <v>0</v>
      </c>
    </row>
    <row r="87" spans="2:38" ht="17.25" customHeight="1" x14ac:dyDescent="0.2">
      <c r="B87" s="138"/>
      <c r="C87" s="138"/>
      <c r="I87" s="97"/>
      <c r="J87" s="105"/>
      <c r="K87" s="357" t="s">
        <v>161</v>
      </c>
      <c r="L87" s="112"/>
      <c r="R87" s="129" t="str">
        <f t="shared" si="12"/>
        <v/>
      </c>
      <c r="S87" s="451"/>
      <c r="T87" s="452"/>
      <c r="U87" s="130">
        <f t="shared" si="6"/>
        <v>0</v>
      </c>
      <c r="W87" s="201" t="str">
        <f t="shared" si="13"/>
        <v>-</v>
      </c>
      <c r="X87" s="198">
        <f t="shared" si="32"/>
        <v>0</v>
      </c>
      <c r="Y87" s="199">
        <f t="shared" si="14"/>
        <v>0</v>
      </c>
      <c r="Z87" s="210">
        <f t="shared" si="7"/>
        <v>0</v>
      </c>
      <c r="AA87" s="201" t="str">
        <f t="shared" si="30"/>
        <v>-</v>
      </c>
      <c r="AB87" s="198">
        <f t="shared" ref="AB87:AB118" si="34">IF(AND(AA87&lt;&gt;"-",$K$29&gt;=24),IF($O$27=6,S197,IF($E$41&gt;0,$E$41/($K$30-$K$31),1000000/($K$30-$K$31))),0)</f>
        <v>0</v>
      </c>
      <c r="AC87" s="202">
        <f t="shared" si="31"/>
        <v>0</v>
      </c>
      <c r="AD87" s="210">
        <f t="shared" si="29"/>
        <v>0</v>
      </c>
      <c r="AE87" s="321" t="str">
        <f t="shared" si="15"/>
        <v>-</v>
      </c>
      <c r="AF87" s="198">
        <f t="shared" si="33"/>
        <v>0</v>
      </c>
      <c r="AG87" s="322">
        <f t="shared" si="10"/>
        <v>0</v>
      </c>
      <c r="AH87" s="319">
        <f t="shared" si="17"/>
        <v>0</v>
      </c>
      <c r="AI87" s="321" t="str">
        <f t="shared" si="28"/>
        <v>-</v>
      </c>
      <c r="AJ87" s="198">
        <f t="shared" ref="AJ87:AJ118" si="35">IF(AND(AI87&lt;&gt;"-",$K$29&gt;=24),IF($O$27=6,S197,IF($J$41&gt;0,$J$41/($K$30-$K$31),1000000/($K$30-$K$31))),0)</f>
        <v>0</v>
      </c>
      <c r="AK87" s="322">
        <f t="shared" si="16"/>
        <v>0</v>
      </c>
      <c r="AL87" s="326">
        <f t="shared" si="5"/>
        <v>0</v>
      </c>
    </row>
    <row r="88" spans="2:38" ht="17.25" customHeight="1" x14ac:dyDescent="0.2">
      <c r="B88" s="138"/>
      <c r="C88" s="138"/>
      <c r="I88" s="97"/>
      <c r="J88" s="105"/>
      <c r="K88" s="358" t="s">
        <v>77</v>
      </c>
      <c r="L88" s="359">
        <f>E27</f>
        <v>44470</v>
      </c>
      <c r="M88" s="391">
        <f>L88</f>
        <v>44470</v>
      </c>
      <c r="R88" s="129" t="str">
        <f t="shared" si="12"/>
        <v/>
      </c>
      <c r="S88" s="451"/>
      <c r="T88" s="452"/>
      <c r="U88" s="130">
        <f t="shared" si="6"/>
        <v>0</v>
      </c>
      <c r="W88" s="201" t="str">
        <f t="shared" si="13"/>
        <v>-</v>
      </c>
      <c r="X88" s="198">
        <f t="shared" si="32"/>
        <v>0</v>
      </c>
      <c r="Y88" s="199">
        <f t="shared" si="14"/>
        <v>0</v>
      </c>
      <c r="Z88" s="210">
        <f t="shared" si="7"/>
        <v>0</v>
      </c>
      <c r="AA88" s="201" t="str">
        <f t="shared" si="30"/>
        <v>-</v>
      </c>
      <c r="AB88" s="198">
        <f t="shared" si="34"/>
        <v>0</v>
      </c>
      <c r="AC88" s="202">
        <f t="shared" si="31"/>
        <v>0</v>
      </c>
      <c r="AD88" s="210">
        <f t="shared" si="29"/>
        <v>0</v>
      </c>
      <c r="AE88" s="321" t="str">
        <f t="shared" si="15"/>
        <v>-</v>
      </c>
      <c r="AF88" s="198">
        <f t="shared" si="33"/>
        <v>0</v>
      </c>
      <c r="AG88" s="322">
        <f t="shared" si="10"/>
        <v>0</v>
      </c>
      <c r="AH88" s="319">
        <f t="shared" si="17"/>
        <v>0</v>
      </c>
      <c r="AI88" s="321" t="str">
        <f t="shared" si="28"/>
        <v>-</v>
      </c>
      <c r="AJ88" s="198">
        <f t="shared" si="35"/>
        <v>0</v>
      </c>
      <c r="AK88" s="322">
        <f t="shared" si="16"/>
        <v>0</v>
      </c>
      <c r="AL88" s="326">
        <f t="shared" si="5"/>
        <v>0</v>
      </c>
    </row>
    <row r="89" spans="2:38" ht="17.25" customHeight="1" x14ac:dyDescent="0.2">
      <c r="B89" s="138"/>
      <c r="C89" s="138"/>
      <c r="I89" s="97"/>
      <c r="J89" s="97"/>
      <c r="K89" s="360" t="s">
        <v>162</v>
      </c>
      <c r="L89" s="359">
        <f>E28</f>
        <v>44835</v>
      </c>
      <c r="M89" s="391">
        <f>L89</f>
        <v>44835</v>
      </c>
      <c r="R89" s="129" t="str">
        <f t="shared" si="12"/>
        <v/>
      </c>
      <c r="S89" s="451"/>
      <c r="T89" s="452"/>
      <c r="U89" s="130">
        <f t="shared" ref="U89:U152" si="36">S89*T89</f>
        <v>0</v>
      </c>
      <c r="W89" s="201" t="str">
        <f t="shared" si="13"/>
        <v>-</v>
      </c>
      <c r="X89" s="198">
        <f t="shared" si="32"/>
        <v>0</v>
      </c>
      <c r="Y89" s="199">
        <f t="shared" si="14"/>
        <v>0</v>
      </c>
      <c r="Z89" s="210">
        <f t="shared" si="7"/>
        <v>0</v>
      </c>
      <c r="AA89" s="201" t="str">
        <f t="shared" si="30"/>
        <v>-</v>
      </c>
      <c r="AB89" s="198">
        <f t="shared" si="34"/>
        <v>0</v>
      </c>
      <c r="AC89" s="202">
        <f t="shared" si="31"/>
        <v>0</v>
      </c>
      <c r="AD89" s="210">
        <f t="shared" ref="AD89:AD120" si="37">AB89*AC89/12</f>
        <v>0</v>
      </c>
      <c r="AE89" s="321" t="str">
        <f t="shared" si="15"/>
        <v>-</v>
      </c>
      <c r="AF89" s="198">
        <f t="shared" si="33"/>
        <v>0</v>
      </c>
      <c r="AG89" s="322">
        <f t="shared" si="10"/>
        <v>0</v>
      </c>
      <c r="AH89" s="319">
        <f t="shared" si="17"/>
        <v>0</v>
      </c>
      <c r="AI89" s="321" t="str">
        <f t="shared" si="28"/>
        <v>-</v>
      </c>
      <c r="AJ89" s="198">
        <f t="shared" si="35"/>
        <v>0</v>
      </c>
      <c r="AK89" s="322">
        <f t="shared" si="16"/>
        <v>0</v>
      </c>
      <c r="AL89" s="326">
        <f t="shared" ref="AL89:AL130" si="38">AJ89*AK89/12</f>
        <v>0</v>
      </c>
    </row>
    <row r="90" spans="2:38" ht="17.25" customHeight="1" x14ac:dyDescent="0.2">
      <c r="B90" s="138"/>
      <c r="C90" s="138"/>
      <c r="I90" s="97"/>
      <c r="J90" s="97"/>
      <c r="K90" s="361" t="s">
        <v>78</v>
      </c>
      <c r="L90" s="356">
        <f>IF(DATEDIF(L88,L89,"d")&lt;=3,0,L92+L93+L94)</f>
        <v>12</v>
      </c>
      <c r="M90" s="356">
        <f>IF(DATEDIF(M88,M89,"d")&lt;=0,0,M92+M93+M94)</f>
        <v>12</v>
      </c>
      <c r="R90" s="129" t="str">
        <f t="shared" si="12"/>
        <v/>
      </c>
      <c r="S90" s="451"/>
      <c r="T90" s="452"/>
      <c r="U90" s="130">
        <f t="shared" si="36"/>
        <v>0</v>
      </c>
      <c r="W90" s="201" t="str">
        <f t="shared" si="13"/>
        <v>-</v>
      </c>
      <c r="X90" s="198">
        <f t="shared" si="32"/>
        <v>0</v>
      </c>
      <c r="Y90" s="199">
        <f t="shared" si="14"/>
        <v>0</v>
      </c>
      <c r="Z90" s="210">
        <f t="shared" ref="Z90:Z126" si="39">X90*Y90/12</f>
        <v>0</v>
      </c>
      <c r="AA90" s="201" t="str">
        <f t="shared" ref="AA90:AA121" si="40">IF($O$27=6,R200,IF(ISERROR(AA89+1),"-",IF(AND($K$30&gt;0,$K$29&gt;=24,AA89+1&lt;=$K$30),AA89+1,"-")))</f>
        <v>-</v>
      </c>
      <c r="AB90" s="198">
        <f t="shared" si="34"/>
        <v>0</v>
      </c>
      <c r="AC90" s="202">
        <f t="shared" ref="AC90:AC121" si="41">IF($O$27=6,T200,IF(AB90&gt;0,$Q$30+AC89,0))</f>
        <v>0</v>
      </c>
      <c r="AD90" s="210">
        <f t="shared" si="37"/>
        <v>0</v>
      </c>
      <c r="AE90" s="321" t="str">
        <f t="shared" si="15"/>
        <v>-</v>
      </c>
      <c r="AF90" s="198">
        <f t="shared" si="33"/>
        <v>0</v>
      </c>
      <c r="AG90" s="322">
        <f t="shared" ref="AG90:AG134" si="42">IF($O$27=6,T90,Y90)</f>
        <v>0</v>
      </c>
      <c r="AH90" s="319">
        <f t="shared" si="17"/>
        <v>0</v>
      </c>
      <c r="AI90" s="321" t="str">
        <f t="shared" si="28"/>
        <v>-</v>
      </c>
      <c r="AJ90" s="198">
        <f t="shared" si="35"/>
        <v>0</v>
      </c>
      <c r="AK90" s="322">
        <f t="shared" si="16"/>
        <v>0</v>
      </c>
      <c r="AL90" s="326">
        <f t="shared" si="38"/>
        <v>0</v>
      </c>
    </row>
    <row r="91" spans="2:38" ht="17.25" customHeight="1" x14ac:dyDescent="0.2">
      <c r="B91" s="138"/>
      <c r="C91" s="138"/>
      <c r="I91" s="97"/>
      <c r="J91" s="97"/>
      <c r="K91" s="369" t="s">
        <v>173</v>
      </c>
      <c r="L91" s="370" t="s">
        <v>174</v>
      </c>
      <c r="M91" s="1" t="s">
        <v>175</v>
      </c>
      <c r="N91" s="1"/>
      <c r="R91" s="129" t="str">
        <f t="shared" si="12"/>
        <v/>
      </c>
      <c r="S91" s="451"/>
      <c r="T91" s="452"/>
      <c r="U91" s="130">
        <f t="shared" si="36"/>
        <v>0</v>
      </c>
      <c r="W91" s="201" t="str">
        <f t="shared" ref="W91:W126" si="43">IF($O$27=6,R91,IF(ISERROR(W90+1),"-",IF(AND($K$30&gt;0,$K$29&gt;=24,W90+1&lt;=$K$30),W90+1,"-")))</f>
        <v>-</v>
      </c>
      <c r="X91" s="198">
        <f t="shared" si="32"/>
        <v>0</v>
      </c>
      <c r="Y91" s="199">
        <f t="shared" ref="Y91:Y126" si="44">IF($O$27=6,T91,IF(X91&gt;0,$Q$30+Y90,0))</f>
        <v>0</v>
      </c>
      <c r="Z91" s="210">
        <f t="shared" si="39"/>
        <v>0</v>
      </c>
      <c r="AA91" s="201" t="str">
        <f t="shared" si="40"/>
        <v>-</v>
      </c>
      <c r="AB91" s="198">
        <f t="shared" si="34"/>
        <v>0</v>
      </c>
      <c r="AC91" s="202">
        <f t="shared" si="41"/>
        <v>0</v>
      </c>
      <c r="AD91" s="210">
        <f t="shared" si="37"/>
        <v>0</v>
      </c>
      <c r="AE91" s="321" t="str">
        <f t="shared" ref="AE91:AE134" si="45">IF($O$27=6,R91,IF(ISERROR(AE90+1),"-",IF(AND($K$30&gt;0,$K$29&gt;=24,AE90+1&lt;=$K$30),AE90+1,"-")))</f>
        <v>-</v>
      </c>
      <c r="AF91" s="198">
        <f t="shared" si="33"/>
        <v>0</v>
      </c>
      <c r="AG91" s="322">
        <f t="shared" si="42"/>
        <v>0</v>
      </c>
      <c r="AH91" s="319">
        <f t="shared" si="17"/>
        <v>0</v>
      </c>
      <c r="AI91" s="321" t="str">
        <f t="shared" ref="AI91:AI130" si="46">IF($O$27=6,R201,IF(ISERROR(AI90+1),"-",IF(AND($K$30&gt;0,$K$29&gt;=24,AI90+1&lt;=$K$30),AI90+1,"-")))</f>
        <v>-</v>
      </c>
      <c r="AJ91" s="198">
        <f t="shared" si="35"/>
        <v>0</v>
      </c>
      <c r="AK91" s="322">
        <f t="shared" si="16"/>
        <v>0</v>
      </c>
      <c r="AL91" s="326">
        <f t="shared" si="38"/>
        <v>0</v>
      </c>
    </row>
    <row r="92" spans="2:38" ht="17.25" customHeight="1" x14ac:dyDescent="0.2">
      <c r="B92" s="138"/>
      <c r="C92" s="138"/>
      <c r="I92" s="97"/>
      <c r="J92" s="97"/>
      <c r="K92" s="352" t="s">
        <v>154</v>
      </c>
      <c r="L92" s="353">
        <f>IF(AND(DAY(L89)&lt;=3,L97&lt;=3,L95&gt;=0),L98-1,L98)</f>
        <v>0</v>
      </c>
      <c r="M92" s="353">
        <f>IF(AND(DAY(M89)&lt;=0,M97&lt;=0,M95&gt;=0),M98-1,M98)</f>
        <v>0</v>
      </c>
      <c r="R92" s="129" t="str">
        <f t="shared" si="12"/>
        <v/>
      </c>
      <c r="S92" s="451"/>
      <c r="T92" s="452"/>
      <c r="U92" s="130">
        <f t="shared" si="36"/>
        <v>0</v>
      </c>
      <c r="W92" s="201" t="str">
        <f t="shared" si="43"/>
        <v>-</v>
      </c>
      <c r="X92" s="198">
        <f t="shared" si="32"/>
        <v>0</v>
      </c>
      <c r="Y92" s="199">
        <f t="shared" si="44"/>
        <v>0</v>
      </c>
      <c r="Z92" s="210">
        <f t="shared" si="39"/>
        <v>0</v>
      </c>
      <c r="AA92" s="201" t="str">
        <f t="shared" si="40"/>
        <v>-</v>
      </c>
      <c r="AB92" s="198">
        <f t="shared" si="34"/>
        <v>0</v>
      </c>
      <c r="AC92" s="202">
        <f t="shared" si="41"/>
        <v>0</v>
      </c>
      <c r="AD92" s="210">
        <f t="shared" si="37"/>
        <v>0</v>
      </c>
      <c r="AE92" s="321" t="str">
        <f t="shared" si="45"/>
        <v>-</v>
      </c>
      <c r="AF92" s="198">
        <f t="shared" si="33"/>
        <v>0</v>
      </c>
      <c r="AG92" s="322">
        <f t="shared" si="42"/>
        <v>0</v>
      </c>
      <c r="AH92" s="319">
        <f t="shared" si="17"/>
        <v>0</v>
      </c>
      <c r="AI92" s="321" t="str">
        <f t="shared" si="46"/>
        <v>-</v>
      </c>
      <c r="AJ92" s="198">
        <f t="shared" si="35"/>
        <v>0</v>
      </c>
      <c r="AK92" s="322">
        <f t="shared" si="16"/>
        <v>0</v>
      </c>
      <c r="AL92" s="326">
        <f t="shared" si="38"/>
        <v>0</v>
      </c>
    </row>
    <row r="93" spans="2:38" ht="17.25" customHeight="1" x14ac:dyDescent="0.2">
      <c r="B93" s="138"/>
      <c r="C93" s="138"/>
      <c r="I93" s="97"/>
      <c r="J93" s="97"/>
      <c r="K93" s="352" t="s">
        <v>155</v>
      </c>
      <c r="L93" s="354">
        <f>(YEAR(L89)-YEAR(L88))*12</f>
        <v>12</v>
      </c>
      <c r="M93" s="354">
        <f>(YEAR(M89)-YEAR(M88))*12</f>
        <v>12</v>
      </c>
      <c r="R93" s="129" t="str">
        <f t="shared" si="12"/>
        <v/>
      </c>
      <c r="S93" s="451"/>
      <c r="T93" s="452"/>
      <c r="U93" s="130">
        <f t="shared" si="36"/>
        <v>0</v>
      </c>
      <c r="W93" s="201" t="str">
        <f t="shared" si="43"/>
        <v>-</v>
      </c>
      <c r="X93" s="198">
        <f t="shared" si="32"/>
        <v>0</v>
      </c>
      <c r="Y93" s="199">
        <f t="shared" si="44"/>
        <v>0</v>
      </c>
      <c r="Z93" s="210">
        <f t="shared" si="39"/>
        <v>0</v>
      </c>
      <c r="AA93" s="201" t="str">
        <f t="shared" si="40"/>
        <v>-</v>
      </c>
      <c r="AB93" s="198">
        <f t="shared" si="34"/>
        <v>0</v>
      </c>
      <c r="AC93" s="202">
        <f t="shared" si="41"/>
        <v>0</v>
      </c>
      <c r="AD93" s="210">
        <f t="shared" si="37"/>
        <v>0</v>
      </c>
      <c r="AE93" s="321" t="str">
        <f t="shared" si="45"/>
        <v>-</v>
      </c>
      <c r="AF93" s="198">
        <f t="shared" si="33"/>
        <v>0</v>
      </c>
      <c r="AG93" s="322">
        <f t="shared" si="42"/>
        <v>0</v>
      </c>
      <c r="AH93" s="319">
        <f t="shared" ref="AH93:AH134" si="47">AF93*AG93/12</f>
        <v>0</v>
      </c>
      <c r="AI93" s="321" t="str">
        <f t="shared" si="46"/>
        <v>-</v>
      </c>
      <c r="AJ93" s="198">
        <f t="shared" si="35"/>
        <v>0</v>
      </c>
      <c r="AK93" s="322">
        <f t="shared" si="16"/>
        <v>0</v>
      </c>
      <c r="AL93" s="326">
        <f t="shared" si="38"/>
        <v>0</v>
      </c>
    </row>
    <row r="94" spans="2:38" ht="17.25" customHeight="1" x14ac:dyDescent="0.2">
      <c r="B94" s="138"/>
      <c r="C94" s="138"/>
      <c r="I94" s="97"/>
      <c r="J94" s="97"/>
      <c r="K94" s="355" t="s">
        <v>156</v>
      </c>
      <c r="L94" s="354">
        <f>IF(L95&gt;3,1,0)</f>
        <v>0</v>
      </c>
      <c r="M94" s="354">
        <f>IF(M95&gt;0,1,0)</f>
        <v>0</v>
      </c>
      <c r="R94" s="129" t="str">
        <f t="shared" si="12"/>
        <v/>
      </c>
      <c r="S94" s="451"/>
      <c r="T94" s="452"/>
      <c r="U94" s="130">
        <f t="shared" si="36"/>
        <v>0</v>
      </c>
      <c r="W94" s="201" t="str">
        <f t="shared" si="43"/>
        <v>-</v>
      </c>
      <c r="X94" s="198">
        <f t="shared" ref="X94:X125" si="48">IF(AND(W94&lt;&gt;"-",$K$29&gt;=24),IF($O$27=6,S94,IF($E$41&gt;0,$E$41/($K$30-$K$31),1000000/($K$30-$K$31))),0)</f>
        <v>0</v>
      </c>
      <c r="Y94" s="199">
        <f t="shared" si="44"/>
        <v>0</v>
      </c>
      <c r="Z94" s="210">
        <f t="shared" si="39"/>
        <v>0</v>
      </c>
      <c r="AA94" s="201" t="str">
        <f t="shared" si="40"/>
        <v>-</v>
      </c>
      <c r="AB94" s="198">
        <f t="shared" si="34"/>
        <v>0</v>
      </c>
      <c r="AC94" s="202">
        <f t="shared" si="41"/>
        <v>0</v>
      </c>
      <c r="AD94" s="210">
        <f t="shared" si="37"/>
        <v>0</v>
      </c>
      <c r="AE94" s="321" t="str">
        <f t="shared" si="45"/>
        <v>-</v>
      </c>
      <c r="AF94" s="198">
        <f t="shared" ref="AF94:AF125" si="49">IF(AND(AE94&lt;&gt;"-",$K$29&gt;=24),IF($O$27=6,S94,IF($J$41&gt;0,$J$41/($K$30-$K$31),1000000/($K$30-$K$31))),0)</f>
        <v>0</v>
      </c>
      <c r="AG94" s="322">
        <f t="shared" si="42"/>
        <v>0</v>
      </c>
      <c r="AH94" s="319">
        <f t="shared" si="47"/>
        <v>0</v>
      </c>
      <c r="AI94" s="321" t="str">
        <f t="shared" si="46"/>
        <v>-</v>
      </c>
      <c r="AJ94" s="198">
        <f t="shared" si="35"/>
        <v>0</v>
      </c>
      <c r="AK94" s="322">
        <f t="shared" ref="AK94:AK130" si="50">IF($O$27=6,AK93,IF(AJ94&gt;0,$Q$30+AK93,0))</f>
        <v>0</v>
      </c>
      <c r="AL94" s="326">
        <f t="shared" si="38"/>
        <v>0</v>
      </c>
    </row>
    <row r="95" spans="2:38" ht="17.25" customHeight="1" x14ac:dyDescent="0.2">
      <c r="B95" s="526"/>
      <c r="C95" s="526"/>
      <c r="I95" s="97"/>
      <c r="J95" s="97"/>
      <c r="K95" s="113" t="s">
        <v>157</v>
      </c>
      <c r="L95" s="353">
        <f>IF(L97&gt;=L96,IF(DATEDIF(DATE(YEAR(L89),MONTH(L89),DAY(L88)),L89,"d")&lt;=3,-1,DATEDIF(DATE(YEAR(L89),MONTH(L89),DAY(L88)),L89,"d")),IF(AND(MONTH(L89)=3,DAY(L89)=1,DAY(L88)=31),0,IF(DATEDIF(DATE(YEAR(L89),MONTH(L89)-1,DAY(L88)),L89,"d")&lt;=3,DATEDIF(DATE(YEAR(L89),MONTH(L89)-1,DAY(L88)),L89,"d"),-1)))</f>
        <v>-1</v>
      </c>
      <c r="M95" s="353">
        <f>IF(M97&gt;=M96,IF(DATEDIF(DATE(YEAR(M89),MONTH(M89),DAY(M88)),M89,"d")&lt;1,-1,DATEDIF(DATE(YEAR(M89),MONTH(M89),DAY(M88)),M89,"d")),IF(AND(MONTH(M89)=3,DAY(M89)=1,DAY(M88)=31),0,IF(DATEDIF(DATE(YEAR(M89),MONTH(M89)-1,DAY(M88)),M89,"d")&lt;1,DATEDIF(DATE(YEAR(M89),MONTH(M89)-1,DAY(M88)),M89,"d"),-1)))</f>
        <v>-1</v>
      </c>
      <c r="R95" s="129" t="str">
        <f t="shared" si="12"/>
        <v/>
      </c>
      <c r="S95" s="451"/>
      <c r="T95" s="452"/>
      <c r="U95" s="130">
        <f t="shared" si="36"/>
        <v>0</v>
      </c>
      <c r="W95" s="201" t="str">
        <f t="shared" si="43"/>
        <v>-</v>
      </c>
      <c r="X95" s="198">
        <f t="shared" si="48"/>
        <v>0</v>
      </c>
      <c r="Y95" s="199">
        <f t="shared" si="44"/>
        <v>0</v>
      </c>
      <c r="Z95" s="210">
        <f t="shared" si="39"/>
        <v>0</v>
      </c>
      <c r="AA95" s="201" t="str">
        <f t="shared" si="40"/>
        <v>-</v>
      </c>
      <c r="AB95" s="198">
        <f t="shared" si="34"/>
        <v>0</v>
      </c>
      <c r="AC95" s="202">
        <f t="shared" si="41"/>
        <v>0</v>
      </c>
      <c r="AD95" s="210">
        <f t="shared" si="37"/>
        <v>0</v>
      </c>
      <c r="AE95" s="321" t="str">
        <f t="shared" si="45"/>
        <v>-</v>
      </c>
      <c r="AF95" s="198">
        <f t="shared" si="49"/>
        <v>0</v>
      </c>
      <c r="AG95" s="322">
        <f t="shared" si="42"/>
        <v>0</v>
      </c>
      <c r="AH95" s="319">
        <f t="shared" si="47"/>
        <v>0</v>
      </c>
      <c r="AI95" s="321" t="str">
        <f t="shared" si="46"/>
        <v>-</v>
      </c>
      <c r="AJ95" s="198">
        <f t="shared" si="35"/>
        <v>0</v>
      </c>
      <c r="AK95" s="322">
        <f t="shared" si="50"/>
        <v>0</v>
      </c>
      <c r="AL95" s="326">
        <f t="shared" si="38"/>
        <v>0</v>
      </c>
    </row>
    <row r="96" spans="2:38" ht="17.25" customHeight="1" x14ac:dyDescent="0.2">
      <c r="B96" s="138"/>
      <c r="C96" s="138"/>
      <c r="J96" s="97"/>
      <c r="K96" s="113" t="s">
        <v>158</v>
      </c>
      <c r="L96" s="353">
        <f>DAY(L88)</f>
        <v>1</v>
      </c>
      <c r="M96" s="353">
        <f>DAY(M88)</f>
        <v>1</v>
      </c>
      <c r="R96" s="129" t="str">
        <f t="shared" ref="R96:R159" si="51">IF(OR(S96&gt;0,T96&gt;9),R95+1,"")</f>
        <v/>
      </c>
      <c r="S96" s="451"/>
      <c r="T96" s="452"/>
      <c r="U96" s="130">
        <f t="shared" si="36"/>
        <v>0</v>
      </c>
      <c r="W96" s="201" t="str">
        <f t="shared" si="43"/>
        <v>-</v>
      </c>
      <c r="X96" s="198">
        <f t="shared" si="48"/>
        <v>0</v>
      </c>
      <c r="Y96" s="199">
        <f t="shared" si="44"/>
        <v>0</v>
      </c>
      <c r="Z96" s="210">
        <f t="shared" si="39"/>
        <v>0</v>
      </c>
      <c r="AA96" s="201" t="str">
        <f t="shared" si="40"/>
        <v>-</v>
      </c>
      <c r="AB96" s="198">
        <f t="shared" si="34"/>
        <v>0</v>
      </c>
      <c r="AC96" s="202">
        <f t="shared" si="41"/>
        <v>0</v>
      </c>
      <c r="AD96" s="210">
        <f t="shared" si="37"/>
        <v>0</v>
      </c>
      <c r="AE96" s="321" t="str">
        <f t="shared" si="45"/>
        <v>-</v>
      </c>
      <c r="AF96" s="198">
        <f t="shared" si="49"/>
        <v>0</v>
      </c>
      <c r="AG96" s="322">
        <f t="shared" si="42"/>
        <v>0</v>
      </c>
      <c r="AH96" s="319">
        <f t="shared" si="47"/>
        <v>0</v>
      </c>
      <c r="AI96" s="321" t="str">
        <f t="shared" si="46"/>
        <v>-</v>
      </c>
      <c r="AJ96" s="198">
        <f t="shared" si="35"/>
        <v>0</v>
      </c>
      <c r="AK96" s="322">
        <f t="shared" si="50"/>
        <v>0</v>
      </c>
      <c r="AL96" s="326">
        <f t="shared" si="38"/>
        <v>0</v>
      </c>
    </row>
    <row r="97" spans="2:38" ht="17.25" customHeight="1" x14ac:dyDescent="0.2">
      <c r="B97" s="138"/>
      <c r="C97" s="138"/>
      <c r="J97" s="97"/>
      <c r="K97" s="113" t="s">
        <v>159</v>
      </c>
      <c r="L97" s="353">
        <f>DAY(L89)</f>
        <v>1</v>
      </c>
      <c r="M97" s="353">
        <f>DAY(M89)</f>
        <v>1</v>
      </c>
      <c r="R97" s="129" t="str">
        <f t="shared" si="51"/>
        <v/>
      </c>
      <c r="S97" s="451"/>
      <c r="T97" s="452"/>
      <c r="U97" s="130">
        <f t="shared" si="36"/>
        <v>0</v>
      </c>
      <c r="W97" s="201" t="str">
        <f t="shared" si="43"/>
        <v>-</v>
      </c>
      <c r="X97" s="198">
        <f t="shared" si="48"/>
        <v>0</v>
      </c>
      <c r="Y97" s="199">
        <f t="shared" si="44"/>
        <v>0</v>
      </c>
      <c r="Z97" s="210">
        <f t="shared" si="39"/>
        <v>0</v>
      </c>
      <c r="AA97" s="201" t="str">
        <f t="shared" si="40"/>
        <v>-</v>
      </c>
      <c r="AB97" s="198">
        <f t="shared" si="34"/>
        <v>0</v>
      </c>
      <c r="AC97" s="202">
        <f t="shared" si="41"/>
        <v>0</v>
      </c>
      <c r="AD97" s="210">
        <f t="shared" si="37"/>
        <v>0</v>
      </c>
      <c r="AE97" s="321" t="str">
        <f t="shared" si="45"/>
        <v>-</v>
      </c>
      <c r="AF97" s="198">
        <f t="shared" si="49"/>
        <v>0</v>
      </c>
      <c r="AG97" s="322">
        <f t="shared" si="42"/>
        <v>0</v>
      </c>
      <c r="AH97" s="319">
        <f t="shared" si="47"/>
        <v>0</v>
      </c>
      <c r="AI97" s="321" t="str">
        <f t="shared" si="46"/>
        <v>-</v>
      </c>
      <c r="AJ97" s="198">
        <f t="shared" si="35"/>
        <v>0</v>
      </c>
      <c r="AK97" s="322">
        <f t="shared" si="50"/>
        <v>0</v>
      </c>
      <c r="AL97" s="326">
        <f t="shared" si="38"/>
        <v>0</v>
      </c>
    </row>
    <row r="98" spans="2:38" ht="17.25" customHeight="1" x14ac:dyDescent="0.2">
      <c r="B98" s="138"/>
      <c r="C98" s="138"/>
      <c r="J98" s="97"/>
      <c r="K98" s="113" t="s">
        <v>160</v>
      </c>
      <c r="L98" s="352">
        <f>MONTH(L89)-MONTH(L88)</f>
        <v>0</v>
      </c>
      <c r="M98" s="1">
        <f>MONTH(L89)-MONTH(L88)</f>
        <v>0</v>
      </c>
      <c r="R98" s="129" t="str">
        <f t="shared" si="51"/>
        <v/>
      </c>
      <c r="S98" s="451"/>
      <c r="T98" s="452"/>
      <c r="U98" s="130">
        <f t="shared" si="36"/>
        <v>0</v>
      </c>
      <c r="W98" s="201" t="str">
        <f t="shared" si="43"/>
        <v>-</v>
      </c>
      <c r="X98" s="198">
        <f t="shared" si="48"/>
        <v>0</v>
      </c>
      <c r="Y98" s="199">
        <f t="shared" si="44"/>
        <v>0</v>
      </c>
      <c r="Z98" s="210">
        <f t="shared" si="39"/>
        <v>0</v>
      </c>
      <c r="AA98" s="201" t="str">
        <f t="shared" si="40"/>
        <v>-</v>
      </c>
      <c r="AB98" s="198">
        <f t="shared" si="34"/>
        <v>0</v>
      </c>
      <c r="AC98" s="202">
        <f t="shared" si="41"/>
        <v>0</v>
      </c>
      <c r="AD98" s="210">
        <f t="shared" si="37"/>
        <v>0</v>
      </c>
      <c r="AE98" s="321" t="str">
        <f t="shared" si="45"/>
        <v>-</v>
      </c>
      <c r="AF98" s="198">
        <f t="shared" si="49"/>
        <v>0</v>
      </c>
      <c r="AG98" s="322">
        <f t="shared" si="42"/>
        <v>0</v>
      </c>
      <c r="AH98" s="319">
        <f t="shared" si="47"/>
        <v>0</v>
      </c>
      <c r="AI98" s="321" t="str">
        <f t="shared" si="46"/>
        <v>-</v>
      </c>
      <c r="AJ98" s="198">
        <f t="shared" si="35"/>
        <v>0</v>
      </c>
      <c r="AK98" s="322">
        <f t="shared" si="50"/>
        <v>0</v>
      </c>
      <c r="AL98" s="326">
        <f t="shared" si="38"/>
        <v>0</v>
      </c>
    </row>
    <row r="99" spans="2:38" ht="17.25" customHeight="1" x14ac:dyDescent="0.2">
      <c r="J99" s="97"/>
      <c r="K99" s="158"/>
      <c r="R99" s="129" t="str">
        <f t="shared" si="51"/>
        <v/>
      </c>
      <c r="S99" s="451"/>
      <c r="T99" s="452"/>
      <c r="U99" s="130">
        <f t="shared" si="36"/>
        <v>0</v>
      </c>
      <c r="W99" s="201" t="str">
        <f t="shared" si="43"/>
        <v>-</v>
      </c>
      <c r="X99" s="198">
        <f t="shared" si="48"/>
        <v>0</v>
      </c>
      <c r="Y99" s="199">
        <f t="shared" si="44"/>
        <v>0</v>
      </c>
      <c r="Z99" s="210">
        <f t="shared" si="39"/>
        <v>0</v>
      </c>
      <c r="AA99" s="201" t="str">
        <f t="shared" si="40"/>
        <v>-</v>
      </c>
      <c r="AB99" s="198">
        <f t="shared" si="34"/>
        <v>0</v>
      </c>
      <c r="AC99" s="202">
        <f t="shared" si="41"/>
        <v>0</v>
      </c>
      <c r="AD99" s="210">
        <f t="shared" si="37"/>
        <v>0</v>
      </c>
      <c r="AE99" s="321" t="str">
        <f t="shared" si="45"/>
        <v>-</v>
      </c>
      <c r="AF99" s="198">
        <f t="shared" si="49"/>
        <v>0</v>
      </c>
      <c r="AG99" s="322">
        <f t="shared" si="42"/>
        <v>0</v>
      </c>
      <c r="AH99" s="319">
        <f t="shared" si="47"/>
        <v>0</v>
      </c>
      <c r="AI99" s="321" t="str">
        <f t="shared" si="46"/>
        <v>-</v>
      </c>
      <c r="AJ99" s="198">
        <f t="shared" si="35"/>
        <v>0</v>
      </c>
      <c r="AK99" s="322">
        <f t="shared" si="50"/>
        <v>0</v>
      </c>
      <c r="AL99" s="326">
        <f t="shared" si="38"/>
        <v>0</v>
      </c>
    </row>
    <row r="100" spans="2:38" ht="17.25" customHeight="1" x14ac:dyDescent="0.2">
      <c r="J100" s="97"/>
      <c r="K100" s="363"/>
      <c r="L100" s="113"/>
      <c r="R100" s="129" t="str">
        <f t="shared" si="51"/>
        <v/>
      </c>
      <c r="S100" s="451"/>
      <c r="T100" s="452"/>
      <c r="U100" s="130">
        <f t="shared" si="36"/>
        <v>0</v>
      </c>
      <c r="W100" s="201" t="str">
        <f t="shared" si="43"/>
        <v>-</v>
      </c>
      <c r="X100" s="198">
        <f t="shared" si="48"/>
        <v>0</v>
      </c>
      <c r="Y100" s="199">
        <f t="shared" si="44"/>
        <v>0</v>
      </c>
      <c r="Z100" s="210">
        <f t="shared" si="39"/>
        <v>0</v>
      </c>
      <c r="AA100" s="201" t="str">
        <f t="shared" si="40"/>
        <v>-</v>
      </c>
      <c r="AB100" s="198">
        <f t="shared" si="34"/>
        <v>0</v>
      </c>
      <c r="AC100" s="202">
        <f t="shared" si="41"/>
        <v>0</v>
      </c>
      <c r="AD100" s="210">
        <f t="shared" si="37"/>
        <v>0</v>
      </c>
      <c r="AE100" s="321" t="str">
        <f t="shared" si="45"/>
        <v>-</v>
      </c>
      <c r="AF100" s="198">
        <f t="shared" si="49"/>
        <v>0</v>
      </c>
      <c r="AG100" s="322">
        <f t="shared" si="42"/>
        <v>0</v>
      </c>
      <c r="AH100" s="319">
        <f t="shared" si="47"/>
        <v>0</v>
      </c>
      <c r="AI100" s="321" t="str">
        <f t="shared" si="46"/>
        <v>-</v>
      </c>
      <c r="AJ100" s="198">
        <f t="shared" si="35"/>
        <v>0</v>
      </c>
      <c r="AK100" s="322">
        <f t="shared" si="50"/>
        <v>0</v>
      </c>
      <c r="AL100" s="326">
        <f t="shared" si="38"/>
        <v>0</v>
      </c>
    </row>
    <row r="101" spans="2:38" ht="17.25" customHeight="1" x14ac:dyDescent="0.2">
      <c r="J101" s="97"/>
      <c r="K101" s="364"/>
      <c r="L101" s="359"/>
      <c r="R101" s="129" t="str">
        <f t="shared" si="51"/>
        <v/>
      </c>
      <c r="S101" s="451"/>
      <c r="T101" s="452"/>
      <c r="U101" s="130">
        <f t="shared" si="36"/>
        <v>0</v>
      </c>
      <c r="W101" s="201" t="str">
        <f t="shared" si="43"/>
        <v>-</v>
      </c>
      <c r="X101" s="198">
        <f t="shared" si="48"/>
        <v>0</v>
      </c>
      <c r="Y101" s="199">
        <f t="shared" si="44"/>
        <v>0</v>
      </c>
      <c r="Z101" s="210">
        <f t="shared" si="39"/>
        <v>0</v>
      </c>
      <c r="AA101" s="201" t="str">
        <f t="shared" si="40"/>
        <v>-</v>
      </c>
      <c r="AB101" s="198">
        <f t="shared" si="34"/>
        <v>0</v>
      </c>
      <c r="AC101" s="202">
        <f t="shared" si="41"/>
        <v>0</v>
      </c>
      <c r="AD101" s="210">
        <f t="shared" si="37"/>
        <v>0</v>
      </c>
      <c r="AE101" s="321" t="str">
        <f t="shared" si="45"/>
        <v>-</v>
      </c>
      <c r="AF101" s="198">
        <f t="shared" si="49"/>
        <v>0</v>
      </c>
      <c r="AG101" s="322">
        <f t="shared" si="42"/>
        <v>0</v>
      </c>
      <c r="AH101" s="319">
        <f t="shared" si="47"/>
        <v>0</v>
      </c>
      <c r="AI101" s="321" t="str">
        <f t="shared" si="46"/>
        <v>-</v>
      </c>
      <c r="AJ101" s="198">
        <f t="shared" si="35"/>
        <v>0</v>
      </c>
      <c r="AK101" s="322">
        <f t="shared" si="50"/>
        <v>0</v>
      </c>
      <c r="AL101" s="326">
        <f t="shared" si="38"/>
        <v>0</v>
      </c>
    </row>
    <row r="102" spans="2:38" ht="17.25" customHeight="1" x14ac:dyDescent="0.2">
      <c r="K102" s="365"/>
      <c r="L102" s="359"/>
      <c r="R102" s="129" t="str">
        <f t="shared" si="51"/>
        <v/>
      </c>
      <c r="S102" s="451"/>
      <c r="T102" s="452"/>
      <c r="U102" s="130">
        <f t="shared" si="36"/>
        <v>0</v>
      </c>
      <c r="W102" s="201" t="str">
        <f t="shared" si="43"/>
        <v>-</v>
      </c>
      <c r="X102" s="198">
        <f t="shared" si="48"/>
        <v>0</v>
      </c>
      <c r="Y102" s="199">
        <f t="shared" si="44"/>
        <v>0</v>
      </c>
      <c r="Z102" s="210">
        <f t="shared" si="39"/>
        <v>0</v>
      </c>
      <c r="AA102" s="201" t="str">
        <f t="shared" si="40"/>
        <v>-</v>
      </c>
      <c r="AB102" s="198">
        <f t="shared" si="34"/>
        <v>0</v>
      </c>
      <c r="AC102" s="202">
        <f t="shared" si="41"/>
        <v>0</v>
      </c>
      <c r="AD102" s="210">
        <f t="shared" si="37"/>
        <v>0</v>
      </c>
      <c r="AE102" s="321" t="str">
        <f t="shared" si="45"/>
        <v>-</v>
      </c>
      <c r="AF102" s="198">
        <f t="shared" si="49"/>
        <v>0</v>
      </c>
      <c r="AG102" s="322">
        <f t="shared" si="42"/>
        <v>0</v>
      </c>
      <c r="AH102" s="319">
        <f t="shared" si="47"/>
        <v>0</v>
      </c>
      <c r="AI102" s="321" t="str">
        <f t="shared" si="46"/>
        <v>-</v>
      </c>
      <c r="AJ102" s="198">
        <f t="shared" si="35"/>
        <v>0</v>
      </c>
      <c r="AK102" s="322">
        <f t="shared" si="50"/>
        <v>0</v>
      </c>
      <c r="AL102" s="326">
        <f t="shared" si="38"/>
        <v>0</v>
      </c>
    </row>
    <row r="103" spans="2:38" ht="17.25" customHeight="1" x14ac:dyDescent="0.2">
      <c r="K103" s="366"/>
      <c r="L103" s="362"/>
      <c r="R103" s="129" t="str">
        <f t="shared" si="51"/>
        <v/>
      </c>
      <c r="S103" s="451"/>
      <c r="T103" s="452"/>
      <c r="U103" s="130">
        <f t="shared" si="36"/>
        <v>0</v>
      </c>
      <c r="W103" s="201" t="str">
        <f t="shared" si="43"/>
        <v>-</v>
      </c>
      <c r="X103" s="198">
        <f t="shared" si="48"/>
        <v>0</v>
      </c>
      <c r="Y103" s="199">
        <f t="shared" si="44"/>
        <v>0</v>
      </c>
      <c r="Z103" s="210">
        <f t="shared" si="39"/>
        <v>0</v>
      </c>
      <c r="AA103" s="201" t="str">
        <f t="shared" si="40"/>
        <v>-</v>
      </c>
      <c r="AB103" s="198">
        <f t="shared" si="34"/>
        <v>0</v>
      </c>
      <c r="AC103" s="202">
        <f t="shared" si="41"/>
        <v>0</v>
      </c>
      <c r="AD103" s="210">
        <f t="shared" si="37"/>
        <v>0</v>
      </c>
      <c r="AE103" s="321" t="str">
        <f t="shared" si="45"/>
        <v>-</v>
      </c>
      <c r="AF103" s="198">
        <f t="shared" si="49"/>
        <v>0</v>
      </c>
      <c r="AG103" s="322">
        <f t="shared" si="42"/>
        <v>0</v>
      </c>
      <c r="AH103" s="319">
        <f t="shared" si="47"/>
        <v>0</v>
      </c>
      <c r="AI103" s="321" t="str">
        <f t="shared" si="46"/>
        <v>-</v>
      </c>
      <c r="AJ103" s="198">
        <f t="shared" si="35"/>
        <v>0</v>
      </c>
      <c r="AK103" s="322">
        <f t="shared" si="50"/>
        <v>0</v>
      </c>
      <c r="AL103" s="326">
        <f t="shared" si="38"/>
        <v>0</v>
      </c>
    </row>
    <row r="104" spans="2:38" ht="17.25" customHeight="1" x14ac:dyDescent="0.2">
      <c r="K104" s="115"/>
      <c r="L104" s="116"/>
      <c r="R104" s="129" t="str">
        <f t="shared" si="51"/>
        <v/>
      </c>
      <c r="S104" s="451"/>
      <c r="T104" s="452"/>
      <c r="U104" s="130">
        <f t="shared" si="36"/>
        <v>0</v>
      </c>
      <c r="W104" s="201" t="str">
        <f t="shared" si="43"/>
        <v>-</v>
      </c>
      <c r="X104" s="198">
        <f t="shared" si="48"/>
        <v>0</v>
      </c>
      <c r="Y104" s="199">
        <f t="shared" si="44"/>
        <v>0</v>
      </c>
      <c r="Z104" s="210">
        <f t="shared" si="39"/>
        <v>0</v>
      </c>
      <c r="AA104" s="201" t="str">
        <f t="shared" si="40"/>
        <v>-</v>
      </c>
      <c r="AB104" s="198">
        <f t="shared" si="34"/>
        <v>0</v>
      </c>
      <c r="AC104" s="202">
        <f t="shared" si="41"/>
        <v>0</v>
      </c>
      <c r="AD104" s="210">
        <f t="shared" si="37"/>
        <v>0</v>
      </c>
      <c r="AE104" s="321" t="str">
        <f t="shared" si="45"/>
        <v>-</v>
      </c>
      <c r="AF104" s="198">
        <f t="shared" si="49"/>
        <v>0</v>
      </c>
      <c r="AG104" s="322">
        <f t="shared" si="42"/>
        <v>0</v>
      </c>
      <c r="AH104" s="319">
        <f t="shared" si="47"/>
        <v>0</v>
      </c>
      <c r="AI104" s="321" t="str">
        <f t="shared" si="46"/>
        <v>-</v>
      </c>
      <c r="AJ104" s="198">
        <f t="shared" si="35"/>
        <v>0</v>
      </c>
      <c r="AK104" s="322">
        <f t="shared" si="50"/>
        <v>0</v>
      </c>
      <c r="AL104" s="326">
        <f t="shared" si="38"/>
        <v>0</v>
      </c>
    </row>
    <row r="105" spans="2:38" ht="17.25" customHeight="1" x14ac:dyDescent="0.2">
      <c r="K105" s="367"/>
      <c r="L105" s="353"/>
      <c r="R105" s="129" t="str">
        <f t="shared" si="51"/>
        <v/>
      </c>
      <c r="S105" s="451"/>
      <c r="T105" s="452"/>
      <c r="U105" s="130">
        <f t="shared" si="36"/>
        <v>0</v>
      </c>
      <c r="W105" s="201" t="str">
        <f t="shared" si="43"/>
        <v>-</v>
      </c>
      <c r="X105" s="198">
        <f t="shared" si="48"/>
        <v>0</v>
      </c>
      <c r="Y105" s="199">
        <f t="shared" si="44"/>
        <v>0</v>
      </c>
      <c r="Z105" s="210">
        <f t="shared" si="39"/>
        <v>0</v>
      </c>
      <c r="AA105" s="201" t="str">
        <f t="shared" si="40"/>
        <v>-</v>
      </c>
      <c r="AB105" s="198">
        <f t="shared" si="34"/>
        <v>0</v>
      </c>
      <c r="AC105" s="202">
        <f t="shared" si="41"/>
        <v>0</v>
      </c>
      <c r="AD105" s="210">
        <f t="shared" si="37"/>
        <v>0</v>
      </c>
      <c r="AE105" s="321" t="str">
        <f t="shared" si="45"/>
        <v>-</v>
      </c>
      <c r="AF105" s="198">
        <f t="shared" si="49"/>
        <v>0</v>
      </c>
      <c r="AG105" s="322">
        <f t="shared" si="42"/>
        <v>0</v>
      </c>
      <c r="AH105" s="319">
        <f t="shared" si="47"/>
        <v>0</v>
      </c>
      <c r="AI105" s="321" t="str">
        <f t="shared" si="46"/>
        <v>-</v>
      </c>
      <c r="AJ105" s="198">
        <f t="shared" si="35"/>
        <v>0</v>
      </c>
      <c r="AK105" s="322">
        <f t="shared" si="50"/>
        <v>0</v>
      </c>
      <c r="AL105" s="326">
        <f t="shared" si="38"/>
        <v>0</v>
      </c>
    </row>
    <row r="106" spans="2:38" ht="17.25" customHeight="1" x14ac:dyDescent="0.2">
      <c r="K106" s="367"/>
      <c r="L106" s="354"/>
      <c r="R106" s="129" t="str">
        <f t="shared" si="51"/>
        <v/>
      </c>
      <c r="S106" s="451"/>
      <c r="T106" s="452"/>
      <c r="U106" s="130">
        <f t="shared" si="36"/>
        <v>0</v>
      </c>
      <c r="W106" s="201" t="str">
        <f t="shared" si="43"/>
        <v>-</v>
      </c>
      <c r="X106" s="198">
        <f t="shared" si="48"/>
        <v>0</v>
      </c>
      <c r="Y106" s="199">
        <f t="shared" si="44"/>
        <v>0</v>
      </c>
      <c r="Z106" s="210">
        <f t="shared" si="39"/>
        <v>0</v>
      </c>
      <c r="AA106" s="201" t="str">
        <f t="shared" si="40"/>
        <v>-</v>
      </c>
      <c r="AB106" s="198">
        <f t="shared" si="34"/>
        <v>0</v>
      </c>
      <c r="AC106" s="202">
        <f t="shared" si="41"/>
        <v>0</v>
      </c>
      <c r="AD106" s="210">
        <f t="shared" si="37"/>
        <v>0</v>
      </c>
      <c r="AE106" s="321" t="str">
        <f t="shared" si="45"/>
        <v>-</v>
      </c>
      <c r="AF106" s="198">
        <f t="shared" si="49"/>
        <v>0</v>
      </c>
      <c r="AG106" s="322">
        <f t="shared" si="42"/>
        <v>0</v>
      </c>
      <c r="AH106" s="319">
        <f t="shared" si="47"/>
        <v>0</v>
      </c>
      <c r="AI106" s="321" t="str">
        <f t="shared" si="46"/>
        <v>-</v>
      </c>
      <c r="AJ106" s="198">
        <f t="shared" si="35"/>
        <v>0</v>
      </c>
      <c r="AK106" s="322">
        <f t="shared" si="50"/>
        <v>0</v>
      </c>
      <c r="AL106" s="326">
        <f t="shared" si="38"/>
        <v>0</v>
      </c>
    </row>
    <row r="107" spans="2:38" ht="17.25" customHeight="1" x14ac:dyDescent="0.2">
      <c r="K107" s="368"/>
      <c r="L107" s="354"/>
      <c r="R107" s="129" t="str">
        <f t="shared" si="51"/>
        <v/>
      </c>
      <c r="S107" s="451"/>
      <c r="T107" s="452"/>
      <c r="U107" s="130">
        <f t="shared" si="36"/>
        <v>0</v>
      </c>
      <c r="W107" s="201" t="str">
        <f t="shared" si="43"/>
        <v>-</v>
      </c>
      <c r="X107" s="198">
        <f t="shared" si="48"/>
        <v>0</v>
      </c>
      <c r="Y107" s="199">
        <f t="shared" si="44"/>
        <v>0</v>
      </c>
      <c r="Z107" s="210">
        <f t="shared" si="39"/>
        <v>0</v>
      </c>
      <c r="AA107" s="201" t="str">
        <f t="shared" si="40"/>
        <v>-</v>
      </c>
      <c r="AB107" s="198">
        <f t="shared" si="34"/>
        <v>0</v>
      </c>
      <c r="AC107" s="202">
        <f t="shared" si="41"/>
        <v>0</v>
      </c>
      <c r="AD107" s="210">
        <f t="shared" si="37"/>
        <v>0</v>
      </c>
      <c r="AE107" s="321" t="str">
        <f t="shared" si="45"/>
        <v>-</v>
      </c>
      <c r="AF107" s="198">
        <f t="shared" si="49"/>
        <v>0</v>
      </c>
      <c r="AG107" s="322">
        <f t="shared" si="42"/>
        <v>0</v>
      </c>
      <c r="AH107" s="319">
        <f t="shared" si="47"/>
        <v>0</v>
      </c>
      <c r="AI107" s="321" t="str">
        <f t="shared" si="46"/>
        <v>-</v>
      </c>
      <c r="AJ107" s="198">
        <f t="shared" si="35"/>
        <v>0</v>
      </c>
      <c r="AK107" s="322">
        <f t="shared" si="50"/>
        <v>0</v>
      </c>
      <c r="AL107" s="326">
        <f t="shared" si="38"/>
        <v>0</v>
      </c>
    </row>
    <row r="108" spans="2:38" ht="17.25" customHeight="1" x14ac:dyDescent="0.2">
      <c r="K108" s="369"/>
      <c r="L108" s="353"/>
      <c r="R108" s="129" t="str">
        <f t="shared" si="51"/>
        <v/>
      </c>
      <c r="S108" s="451"/>
      <c r="T108" s="452"/>
      <c r="U108" s="130">
        <f t="shared" si="36"/>
        <v>0</v>
      </c>
      <c r="W108" s="201" t="str">
        <f t="shared" si="43"/>
        <v>-</v>
      </c>
      <c r="X108" s="198">
        <f t="shared" si="48"/>
        <v>0</v>
      </c>
      <c r="Y108" s="199">
        <f t="shared" si="44"/>
        <v>0</v>
      </c>
      <c r="Z108" s="210">
        <f t="shared" si="39"/>
        <v>0</v>
      </c>
      <c r="AA108" s="201" t="str">
        <f t="shared" si="40"/>
        <v>-</v>
      </c>
      <c r="AB108" s="198">
        <f t="shared" si="34"/>
        <v>0</v>
      </c>
      <c r="AC108" s="202">
        <f t="shared" si="41"/>
        <v>0</v>
      </c>
      <c r="AD108" s="210">
        <f t="shared" si="37"/>
        <v>0</v>
      </c>
      <c r="AE108" s="321" t="str">
        <f t="shared" si="45"/>
        <v>-</v>
      </c>
      <c r="AF108" s="198">
        <f t="shared" si="49"/>
        <v>0</v>
      </c>
      <c r="AG108" s="322">
        <f t="shared" si="42"/>
        <v>0</v>
      </c>
      <c r="AH108" s="319">
        <f t="shared" si="47"/>
        <v>0</v>
      </c>
      <c r="AI108" s="321" t="str">
        <f t="shared" si="46"/>
        <v>-</v>
      </c>
      <c r="AJ108" s="198">
        <f t="shared" si="35"/>
        <v>0</v>
      </c>
      <c r="AK108" s="322">
        <f t="shared" si="50"/>
        <v>0</v>
      </c>
      <c r="AL108" s="326">
        <f t="shared" si="38"/>
        <v>0</v>
      </c>
    </row>
    <row r="109" spans="2:38" ht="17.25" customHeight="1" x14ac:dyDescent="0.2">
      <c r="K109" s="369"/>
      <c r="L109" s="353"/>
      <c r="R109" s="129" t="str">
        <f t="shared" si="51"/>
        <v/>
      </c>
      <c r="S109" s="451"/>
      <c r="T109" s="452"/>
      <c r="U109" s="130">
        <f t="shared" si="36"/>
        <v>0</v>
      </c>
      <c r="W109" s="201" t="str">
        <f t="shared" si="43"/>
        <v>-</v>
      </c>
      <c r="X109" s="198">
        <f t="shared" si="48"/>
        <v>0</v>
      </c>
      <c r="Y109" s="199">
        <f t="shared" si="44"/>
        <v>0</v>
      </c>
      <c r="Z109" s="210">
        <f t="shared" si="39"/>
        <v>0</v>
      </c>
      <c r="AA109" s="201" t="str">
        <f t="shared" si="40"/>
        <v>-</v>
      </c>
      <c r="AB109" s="198">
        <f t="shared" si="34"/>
        <v>0</v>
      </c>
      <c r="AC109" s="202">
        <f t="shared" si="41"/>
        <v>0</v>
      </c>
      <c r="AD109" s="210">
        <f t="shared" si="37"/>
        <v>0</v>
      </c>
      <c r="AE109" s="321" t="str">
        <f t="shared" si="45"/>
        <v>-</v>
      </c>
      <c r="AF109" s="198">
        <f t="shared" si="49"/>
        <v>0</v>
      </c>
      <c r="AG109" s="322">
        <f t="shared" si="42"/>
        <v>0</v>
      </c>
      <c r="AH109" s="319">
        <f t="shared" si="47"/>
        <v>0</v>
      </c>
      <c r="AI109" s="321" t="str">
        <f t="shared" si="46"/>
        <v>-</v>
      </c>
      <c r="AJ109" s="198">
        <f t="shared" si="35"/>
        <v>0</v>
      </c>
      <c r="AK109" s="322">
        <f t="shared" si="50"/>
        <v>0</v>
      </c>
      <c r="AL109" s="326">
        <f t="shared" si="38"/>
        <v>0</v>
      </c>
    </row>
    <row r="110" spans="2:38" ht="17.25" customHeight="1" x14ac:dyDescent="0.2">
      <c r="K110" s="369"/>
      <c r="L110" s="353"/>
      <c r="R110" s="129" t="str">
        <f t="shared" si="51"/>
        <v/>
      </c>
      <c r="S110" s="451"/>
      <c r="T110" s="452"/>
      <c r="U110" s="130">
        <f t="shared" si="36"/>
        <v>0</v>
      </c>
      <c r="W110" s="201" t="str">
        <f t="shared" si="43"/>
        <v>-</v>
      </c>
      <c r="X110" s="198">
        <f t="shared" si="48"/>
        <v>0</v>
      </c>
      <c r="Y110" s="199">
        <f t="shared" si="44"/>
        <v>0</v>
      </c>
      <c r="Z110" s="210">
        <f t="shared" si="39"/>
        <v>0</v>
      </c>
      <c r="AA110" s="201" t="str">
        <f t="shared" si="40"/>
        <v>-</v>
      </c>
      <c r="AB110" s="198">
        <f t="shared" si="34"/>
        <v>0</v>
      </c>
      <c r="AC110" s="202">
        <f t="shared" si="41"/>
        <v>0</v>
      </c>
      <c r="AD110" s="210">
        <f t="shared" si="37"/>
        <v>0</v>
      </c>
      <c r="AE110" s="321" t="str">
        <f t="shared" si="45"/>
        <v>-</v>
      </c>
      <c r="AF110" s="198">
        <f t="shared" si="49"/>
        <v>0</v>
      </c>
      <c r="AG110" s="322">
        <f t="shared" si="42"/>
        <v>0</v>
      </c>
      <c r="AH110" s="319">
        <f t="shared" si="47"/>
        <v>0</v>
      </c>
      <c r="AI110" s="321" t="str">
        <f t="shared" si="46"/>
        <v>-</v>
      </c>
      <c r="AJ110" s="198">
        <f t="shared" si="35"/>
        <v>0</v>
      </c>
      <c r="AK110" s="322">
        <f t="shared" si="50"/>
        <v>0</v>
      </c>
      <c r="AL110" s="326">
        <f t="shared" si="38"/>
        <v>0</v>
      </c>
    </row>
    <row r="111" spans="2:38" ht="17.25" customHeight="1" x14ac:dyDescent="0.2">
      <c r="K111" s="369"/>
      <c r="L111" s="352"/>
      <c r="R111" s="129" t="str">
        <f t="shared" si="51"/>
        <v/>
      </c>
      <c r="S111" s="451"/>
      <c r="T111" s="452"/>
      <c r="U111" s="130">
        <f t="shared" si="36"/>
        <v>0</v>
      </c>
      <c r="W111" s="201" t="str">
        <f t="shared" si="43"/>
        <v>-</v>
      </c>
      <c r="X111" s="198">
        <f t="shared" si="48"/>
        <v>0</v>
      </c>
      <c r="Y111" s="199">
        <f t="shared" si="44"/>
        <v>0</v>
      </c>
      <c r="Z111" s="210">
        <f t="shared" si="39"/>
        <v>0</v>
      </c>
      <c r="AA111" s="201" t="str">
        <f t="shared" si="40"/>
        <v>-</v>
      </c>
      <c r="AB111" s="198">
        <f t="shared" si="34"/>
        <v>0</v>
      </c>
      <c r="AC111" s="202">
        <f t="shared" si="41"/>
        <v>0</v>
      </c>
      <c r="AD111" s="210">
        <f t="shared" si="37"/>
        <v>0</v>
      </c>
      <c r="AE111" s="321" t="str">
        <f t="shared" si="45"/>
        <v>-</v>
      </c>
      <c r="AF111" s="198">
        <f t="shared" si="49"/>
        <v>0</v>
      </c>
      <c r="AG111" s="322">
        <f t="shared" si="42"/>
        <v>0</v>
      </c>
      <c r="AH111" s="319">
        <f t="shared" si="47"/>
        <v>0</v>
      </c>
      <c r="AI111" s="321" t="str">
        <f t="shared" si="46"/>
        <v>-</v>
      </c>
      <c r="AJ111" s="198">
        <f t="shared" si="35"/>
        <v>0</v>
      </c>
      <c r="AK111" s="322">
        <f t="shared" si="50"/>
        <v>0</v>
      </c>
      <c r="AL111" s="326">
        <f t="shared" si="38"/>
        <v>0</v>
      </c>
    </row>
    <row r="112" spans="2:38" ht="17.25" customHeight="1" x14ac:dyDescent="0.2">
      <c r="R112" s="129" t="str">
        <f t="shared" si="51"/>
        <v/>
      </c>
      <c r="S112" s="451"/>
      <c r="T112" s="452"/>
      <c r="U112" s="130">
        <f t="shared" si="36"/>
        <v>0</v>
      </c>
      <c r="W112" s="201" t="str">
        <f t="shared" si="43"/>
        <v>-</v>
      </c>
      <c r="X112" s="198">
        <f t="shared" si="48"/>
        <v>0</v>
      </c>
      <c r="Y112" s="199">
        <f t="shared" si="44"/>
        <v>0</v>
      </c>
      <c r="Z112" s="210">
        <f t="shared" si="39"/>
        <v>0</v>
      </c>
      <c r="AA112" s="201" t="str">
        <f t="shared" si="40"/>
        <v>-</v>
      </c>
      <c r="AB112" s="198">
        <f t="shared" si="34"/>
        <v>0</v>
      </c>
      <c r="AC112" s="202">
        <f t="shared" si="41"/>
        <v>0</v>
      </c>
      <c r="AD112" s="210">
        <f t="shared" si="37"/>
        <v>0</v>
      </c>
      <c r="AE112" s="321" t="str">
        <f t="shared" si="45"/>
        <v>-</v>
      </c>
      <c r="AF112" s="198">
        <f t="shared" si="49"/>
        <v>0</v>
      </c>
      <c r="AG112" s="322">
        <f t="shared" si="42"/>
        <v>0</v>
      </c>
      <c r="AH112" s="319">
        <f t="shared" si="47"/>
        <v>0</v>
      </c>
      <c r="AI112" s="321" t="str">
        <f t="shared" si="46"/>
        <v>-</v>
      </c>
      <c r="AJ112" s="198">
        <f t="shared" si="35"/>
        <v>0</v>
      </c>
      <c r="AK112" s="322">
        <f t="shared" si="50"/>
        <v>0</v>
      </c>
      <c r="AL112" s="326">
        <f t="shared" si="38"/>
        <v>0</v>
      </c>
    </row>
    <row r="113" spans="18:38" ht="17.25" customHeight="1" x14ac:dyDescent="0.2">
      <c r="R113" s="129" t="str">
        <f t="shared" si="51"/>
        <v/>
      </c>
      <c r="S113" s="451"/>
      <c r="T113" s="452"/>
      <c r="U113" s="130">
        <f t="shared" si="36"/>
        <v>0</v>
      </c>
      <c r="W113" s="201" t="str">
        <f t="shared" si="43"/>
        <v>-</v>
      </c>
      <c r="X113" s="198">
        <f t="shared" si="48"/>
        <v>0</v>
      </c>
      <c r="Y113" s="199">
        <f t="shared" si="44"/>
        <v>0</v>
      </c>
      <c r="Z113" s="210">
        <f t="shared" si="39"/>
        <v>0</v>
      </c>
      <c r="AA113" s="201" t="str">
        <f t="shared" si="40"/>
        <v>-</v>
      </c>
      <c r="AB113" s="198">
        <f t="shared" si="34"/>
        <v>0</v>
      </c>
      <c r="AC113" s="202">
        <f t="shared" si="41"/>
        <v>0</v>
      </c>
      <c r="AD113" s="210">
        <f t="shared" si="37"/>
        <v>0</v>
      </c>
      <c r="AE113" s="321" t="str">
        <f t="shared" si="45"/>
        <v>-</v>
      </c>
      <c r="AF113" s="198">
        <f t="shared" si="49"/>
        <v>0</v>
      </c>
      <c r="AG113" s="322">
        <f t="shared" si="42"/>
        <v>0</v>
      </c>
      <c r="AH113" s="319">
        <f t="shared" si="47"/>
        <v>0</v>
      </c>
      <c r="AI113" s="321" t="str">
        <f t="shared" si="46"/>
        <v>-</v>
      </c>
      <c r="AJ113" s="198">
        <f t="shared" si="35"/>
        <v>0</v>
      </c>
      <c r="AK113" s="322">
        <f t="shared" si="50"/>
        <v>0</v>
      </c>
      <c r="AL113" s="326">
        <f t="shared" si="38"/>
        <v>0</v>
      </c>
    </row>
    <row r="114" spans="18:38" ht="17.25" customHeight="1" x14ac:dyDescent="0.2">
      <c r="R114" s="129" t="str">
        <f t="shared" si="51"/>
        <v/>
      </c>
      <c r="S114" s="451"/>
      <c r="T114" s="452"/>
      <c r="U114" s="130">
        <f t="shared" si="36"/>
        <v>0</v>
      </c>
      <c r="W114" s="201" t="str">
        <f t="shared" si="43"/>
        <v>-</v>
      </c>
      <c r="X114" s="198">
        <f t="shared" si="48"/>
        <v>0</v>
      </c>
      <c r="Y114" s="199">
        <f t="shared" si="44"/>
        <v>0</v>
      </c>
      <c r="Z114" s="210">
        <f t="shared" si="39"/>
        <v>0</v>
      </c>
      <c r="AA114" s="201" t="str">
        <f t="shared" si="40"/>
        <v>-</v>
      </c>
      <c r="AB114" s="198">
        <f t="shared" si="34"/>
        <v>0</v>
      </c>
      <c r="AC114" s="202">
        <f t="shared" si="41"/>
        <v>0</v>
      </c>
      <c r="AD114" s="210">
        <f t="shared" si="37"/>
        <v>0</v>
      </c>
      <c r="AE114" s="321" t="str">
        <f t="shared" si="45"/>
        <v>-</v>
      </c>
      <c r="AF114" s="198">
        <f t="shared" si="49"/>
        <v>0</v>
      </c>
      <c r="AG114" s="322">
        <f t="shared" si="42"/>
        <v>0</v>
      </c>
      <c r="AH114" s="319">
        <f t="shared" si="47"/>
        <v>0</v>
      </c>
      <c r="AI114" s="321" t="str">
        <f t="shared" si="46"/>
        <v>-</v>
      </c>
      <c r="AJ114" s="198">
        <f t="shared" si="35"/>
        <v>0</v>
      </c>
      <c r="AK114" s="322">
        <f t="shared" si="50"/>
        <v>0</v>
      </c>
      <c r="AL114" s="326">
        <f t="shared" si="38"/>
        <v>0</v>
      </c>
    </row>
    <row r="115" spans="18:38" ht="17.25" customHeight="1" x14ac:dyDescent="0.2">
      <c r="R115" s="129" t="str">
        <f t="shared" si="51"/>
        <v/>
      </c>
      <c r="S115" s="451"/>
      <c r="T115" s="452"/>
      <c r="U115" s="130">
        <f t="shared" si="36"/>
        <v>0</v>
      </c>
      <c r="W115" s="201" t="str">
        <f t="shared" si="43"/>
        <v>-</v>
      </c>
      <c r="X115" s="198">
        <f t="shared" si="48"/>
        <v>0</v>
      </c>
      <c r="Y115" s="199">
        <f t="shared" si="44"/>
        <v>0</v>
      </c>
      <c r="Z115" s="210">
        <f t="shared" si="39"/>
        <v>0</v>
      </c>
      <c r="AA115" s="201" t="str">
        <f t="shared" si="40"/>
        <v>-</v>
      </c>
      <c r="AB115" s="198">
        <f t="shared" si="34"/>
        <v>0</v>
      </c>
      <c r="AC115" s="202">
        <f t="shared" si="41"/>
        <v>0</v>
      </c>
      <c r="AD115" s="210">
        <f t="shared" si="37"/>
        <v>0</v>
      </c>
      <c r="AE115" s="321" t="str">
        <f t="shared" si="45"/>
        <v>-</v>
      </c>
      <c r="AF115" s="198">
        <f t="shared" si="49"/>
        <v>0</v>
      </c>
      <c r="AG115" s="322">
        <f t="shared" si="42"/>
        <v>0</v>
      </c>
      <c r="AH115" s="319">
        <f t="shared" si="47"/>
        <v>0</v>
      </c>
      <c r="AI115" s="321" t="str">
        <f t="shared" si="46"/>
        <v>-</v>
      </c>
      <c r="AJ115" s="198">
        <f t="shared" si="35"/>
        <v>0</v>
      </c>
      <c r="AK115" s="322">
        <f t="shared" si="50"/>
        <v>0</v>
      </c>
      <c r="AL115" s="326">
        <f t="shared" si="38"/>
        <v>0</v>
      </c>
    </row>
    <row r="116" spans="18:38" ht="17.25" customHeight="1" x14ac:dyDescent="0.2">
      <c r="R116" s="129" t="str">
        <f t="shared" si="51"/>
        <v/>
      </c>
      <c r="S116" s="451"/>
      <c r="T116" s="452"/>
      <c r="U116" s="130">
        <f t="shared" si="36"/>
        <v>0</v>
      </c>
      <c r="W116" s="201" t="str">
        <f t="shared" si="43"/>
        <v>-</v>
      </c>
      <c r="X116" s="198">
        <f t="shared" si="48"/>
        <v>0</v>
      </c>
      <c r="Y116" s="199">
        <f t="shared" si="44"/>
        <v>0</v>
      </c>
      <c r="Z116" s="210">
        <f t="shared" si="39"/>
        <v>0</v>
      </c>
      <c r="AA116" s="201" t="str">
        <f t="shared" si="40"/>
        <v>-</v>
      </c>
      <c r="AB116" s="198">
        <f t="shared" si="34"/>
        <v>0</v>
      </c>
      <c r="AC116" s="202">
        <f t="shared" si="41"/>
        <v>0</v>
      </c>
      <c r="AD116" s="210">
        <f t="shared" si="37"/>
        <v>0</v>
      </c>
      <c r="AE116" s="321" t="str">
        <f t="shared" si="45"/>
        <v>-</v>
      </c>
      <c r="AF116" s="198">
        <f t="shared" si="49"/>
        <v>0</v>
      </c>
      <c r="AG116" s="322">
        <f t="shared" si="42"/>
        <v>0</v>
      </c>
      <c r="AH116" s="319">
        <f t="shared" si="47"/>
        <v>0</v>
      </c>
      <c r="AI116" s="321" t="str">
        <f t="shared" si="46"/>
        <v>-</v>
      </c>
      <c r="AJ116" s="198">
        <f t="shared" si="35"/>
        <v>0</v>
      </c>
      <c r="AK116" s="322">
        <f t="shared" si="50"/>
        <v>0</v>
      </c>
      <c r="AL116" s="326">
        <f t="shared" si="38"/>
        <v>0</v>
      </c>
    </row>
    <row r="117" spans="18:38" ht="17.25" customHeight="1" x14ac:dyDescent="0.2">
      <c r="R117" s="129" t="str">
        <f t="shared" si="51"/>
        <v/>
      </c>
      <c r="S117" s="451"/>
      <c r="T117" s="452"/>
      <c r="U117" s="130">
        <f t="shared" si="36"/>
        <v>0</v>
      </c>
      <c r="W117" s="201" t="str">
        <f t="shared" si="43"/>
        <v>-</v>
      </c>
      <c r="X117" s="198">
        <f t="shared" si="48"/>
        <v>0</v>
      </c>
      <c r="Y117" s="199">
        <f t="shared" si="44"/>
        <v>0</v>
      </c>
      <c r="Z117" s="210">
        <f t="shared" si="39"/>
        <v>0</v>
      </c>
      <c r="AA117" s="201" t="str">
        <f t="shared" si="40"/>
        <v>-</v>
      </c>
      <c r="AB117" s="198">
        <f t="shared" si="34"/>
        <v>0</v>
      </c>
      <c r="AC117" s="202">
        <f t="shared" si="41"/>
        <v>0</v>
      </c>
      <c r="AD117" s="210">
        <f t="shared" si="37"/>
        <v>0</v>
      </c>
      <c r="AE117" s="321" t="str">
        <f t="shared" si="45"/>
        <v>-</v>
      </c>
      <c r="AF117" s="198">
        <f t="shared" si="49"/>
        <v>0</v>
      </c>
      <c r="AG117" s="322">
        <f t="shared" si="42"/>
        <v>0</v>
      </c>
      <c r="AH117" s="319">
        <f t="shared" si="47"/>
        <v>0</v>
      </c>
      <c r="AI117" s="321" t="str">
        <f t="shared" si="46"/>
        <v>-</v>
      </c>
      <c r="AJ117" s="198">
        <f t="shared" si="35"/>
        <v>0</v>
      </c>
      <c r="AK117" s="322">
        <f t="shared" si="50"/>
        <v>0</v>
      </c>
      <c r="AL117" s="326">
        <f t="shared" si="38"/>
        <v>0</v>
      </c>
    </row>
    <row r="118" spans="18:38" ht="17.25" customHeight="1" x14ac:dyDescent="0.2">
      <c r="R118" s="129" t="str">
        <f t="shared" si="51"/>
        <v/>
      </c>
      <c r="S118" s="451"/>
      <c r="T118" s="452"/>
      <c r="U118" s="130">
        <f t="shared" si="36"/>
        <v>0</v>
      </c>
      <c r="W118" s="201" t="str">
        <f t="shared" si="43"/>
        <v>-</v>
      </c>
      <c r="X118" s="198">
        <f t="shared" si="48"/>
        <v>0</v>
      </c>
      <c r="Y118" s="199">
        <f t="shared" si="44"/>
        <v>0</v>
      </c>
      <c r="Z118" s="210">
        <f t="shared" si="39"/>
        <v>0</v>
      </c>
      <c r="AA118" s="201" t="str">
        <f t="shared" si="40"/>
        <v>-</v>
      </c>
      <c r="AB118" s="198">
        <f t="shared" si="34"/>
        <v>0</v>
      </c>
      <c r="AC118" s="202">
        <f t="shared" si="41"/>
        <v>0</v>
      </c>
      <c r="AD118" s="210">
        <f t="shared" si="37"/>
        <v>0</v>
      </c>
      <c r="AE118" s="321" t="str">
        <f t="shared" si="45"/>
        <v>-</v>
      </c>
      <c r="AF118" s="198">
        <f t="shared" si="49"/>
        <v>0</v>
      </c>
      <c r="AG118" s="322">
        <f t="shared" si="42"/>
        <v>0</v>
      </c>
      <c r="AH118" s="319">
        <f t="shared" si="47"/>
        <v>0</v>
      </c>
      <c r="AI118" s="321" t="str">
        <f t="shared" si="46"/>
        <v>-</v>
      </c>
      <c r="AJ118" s="198">
        <f t="shared" si="35"/>
        <v>0</v>
      </c>
      <c r="AK118" s="322">
        <f t="shared" si="50"/>
        <v>0</v>
      </c>
      <c r="AL118" s="326">
        <f t="shared" si="38"/>
        <v>0</v>
      </c>
    </row>
    <row r="119" spans="18:38" ht="17.25" customHeight="1" x14ac:dyDescent="0.2">
      <c r="R119" s="129" t="str">
        <f t="shared" si="51"/>
        <v/>
      </c>
      <c r="S119" s="451"/>
      <c r="T119" s="452"/>
      <c r="U119" s="130">
        <f t="shared" si="36"/>
        <v>0</v>
      </c>
      <c r="W119" s="201" t="str">
        <f t="shared" si="43"/>
        <v>-</v>
      </c>
      <c r="X119" s="198">
        <f t="shared" si="48"/>
        <v>0</v>
      </c>
      <c r="Y119" s="199">
        <f t="shared" si="44"/>
        <v>0</v>
      </c>
      <c r="Z119" s="210">
        <f t="shared" si="39"/>
        <v>0</v>
      </c>
      <c r="AA119" s="201" t="str">
        <f t="shared" si="40"/>
        <v>-</v>
      </c>
      <c r="AB119" s="198">
        <f t="shared" ref="AB119:AB130" si="52">IF(AND(AA119&lt;&gt;"-",$K$29&gt;=24),IF($O$27=6,S229,IF($E$41&gt;0,$E$41/($K$30-$K$31),1000000/($K$30-$K$31))),0)</f>
        <v>0</v>
      </c>
      <c r="AC119" s="202">
        <f t="shared" si="41"/>
        <v>0</v>
      </c>
      <c r="AD119" s="210">
        <f t="shared" si="37"/>
        <v>0</v>
      </c>
      <c r="AE119" s="321" t="str">
        <f t="shared" si="45"/>
        <v>-</v>
      </c>
      <c r="AF119" s="198">
        <f t="shared" si="49"/>
        <v>0</v>
      </c>
      <c r="AG119" s="322">
        <f t="shared" si="42"/>
        <v>0</v>
      </c>
      <c r="AH119" s="319">
        <f t="shared" si="47"/>
        <v>0</v>
      </c>
      <c r="AI119" s="321" t="str">
        <f t="shared" si="46"/>
        <v>-</v>
      </c>
      <c r="AJ119" s="198">
        <f t="shared" ref="AJ119:AJ130" si="53">IF(AND(AI119&lt;&gt;"-",$K$29&gt;=24),IF($O$27=6,S229,IF($J$41&gt;0,$J$41/($K$30-$K$31),1000000/($K$30-$K$31))),0)</f>
        <v>0</v>
      </c>
      <c r="AK119" s="322">
        <f t="shared" si="50"/>
        <v>0</v>
      </c>
      <c r="AL119" s="326">
        <f t="shared" si="38"/>
        <v>0</v>
      </c>
    </row>
    <row r="120" spans="18:38" ht="17.25" customHeight="1" x14ac:dyDescent="0.2">
      <c r="R120" s="129" t="str">
        <f t="shared" si="51"/>
        <v/>
      </c>
      <c r="S120" s="451"/>
      <c r="T120" s="452"/>
      <c r="U120" s="130">
        <f t="shared" si="36"/>
        <v>0</v>
      </c>
      <c r="W120" s="201" t="str">
        <f t="shared" si="43"/>
        <v>-</v>
      </c>
      <c r="X120" s="198">
        <f t="shared" si="48"/>
        <v>0</v>
      </c>
      <c r="Y120" s="199">
        <f t="shared" si="44"/>
        <v>0</v>
      </c>
      <c r="Z120" s="210">
        <f t="shared" si="39"/>
        <v>0</v>
      </c>
      <c r="AA120" s="201" t="str">
        <f t="shared" si="40"/>
        <v>-</v>
      </c>
      <c r="AB120" s="198">
        <f t="shared" si="52"/>
        <v>0</v>
      </c>
      <c r="AC120" s="202">
        <f t="shared" si="41"/>
        <v>0</v>
      </c>
      <c r="AD120" s="210">
        <f t="shared" si="37"/>
        <v>0</v>
      </c>
      <c r="AE120" s="321" t="str">
        <f t="shared" si="45"/>
        <v>-</v>
      </c>
      <c r="AF120" s="198">
        <f t="shared" si="49"/>
        <v>0</v>
      </c>
      <c r="AG120" s="322">
        <f t="shared" si="42"/>
        <v>0</v>
      </c>
      <c r="AH120" s="319">
        <f t="shared" si="47"/>
        <v>0</v>
      </c>
      <c r="AI120" s="321" t="str">
        <f t="shared" si="46"/>
        <v>-</v>
      </c>
      <c r="AJ120" s="198">
        <f t="shared" si="53"/>
        <v>0</v>
      </c>
      <c r="AK120" s="322">
        <f t="shared" si="50"/>
        <v>0</v>
      </c>
      <c r="AL120" s="326">
        <f t="shared" si="38"/>
        <v>0</v>
      </c>
    </row>
    <row r="121" spans="18:38" ht="17.25" customHeight="1" x14ac:dyDescent="0.2">
      <c r="R121" s="129" t="str">
        <f t="shared" si="51"/>
        <v/>
      </c>
      <c r="S121" s="451"/>
      <c r="T121" s="452"/>
      <c r="U121" s="130">
        <f t="shared" si="36"/>
        <v>0</v>
      </c>
      <c r="W121" s="201" t="str">
        <f t="shared" si="43"/>
        <v>-</v>
      </c>
      <c r="X121" s="198">
        <f t="shared" si="48"/>
        <v>0</v>
      </c>
      <c r="Y121" s="199">
        <f t="shared" si="44"/>
        <v>0</v>
      </c>
      <c r="Z121" s="210">
        <f t="shared" si="39"/>
        <v>0</v>
      </c>
      <c r="AA121" s="201" t="str">
        <f t="shared" si="40"/>
        <v>-</v>
      </c>
      <c r="AB121" s="198">
        <f t="shared" si="52"/>
        <v>0</v>
      </c>
      <c r="AC121" s="202">
        <f t="shared" si="41"/>
        <v>0</v>
      </c>
      <c r="AD121" s="210">
        <f t="shared" ref="AD121:AD130" si="54">AB121*AC121/12</f>
        <v>0</v>
      </c>
      <c r="AE121" s="321" t="str">
        <f t="shared" si="45"/>
        <v>-</v>
      </c>
      <c r="AF121" s="198">
        <f t="shared" si="49"/>
        <v>0</v>
      </c>
      <c r="AG121" s="322">
        <f t="shared" si="42"/>
        <v>0</v>
      </c>
      <c r="AH121" s="319">
        <f t="shared" si="47"/>
        <v>0</v>
      </c>
      <c r="AI121" s="321" t="str">
        <f t="shared" si="46"/>
        <v>-</v>
      </c>
      <c r="AJ121" s="198">
        <f t="shared" si="53"/>
        <v>0</v>
      </c>
      <c r="AK121" s="322">
        <f t="shared" si="50"/>
        <v>0</v>
      </c>
      <c r="AL121" s="326">
        <f t="shared" si="38"/>
        <v>0</v>
      </c>
    </row>
    <row r="122" spans="18:38" ht="17.25" customHeight="1" x14ac:dyDescent="0.2">
      <c r="R122" s="129" t="str">
        <f t="shared" si="51"/>
        <v/>
      </c>
      <c r="S122" s="451"/>
      <c r="T122" s="452"/>
      <c r="U122" s="130">
        <f t="shared" si="36"/>
        <v>0</v>
      </c>
      <c r="W122" s="201" t="str">
        <f t="shared" si="43"/>
        <v>-</v>
      </c>
      <c r="X122" s="198">
        <f t="shared" si="48"/>
        <v>0</v>
      </c>
      <c r="Y122" s="199">
        <f t="shared" si="44"/>
        <v>0</v>
      </c>
      <c r="Z122" s="210">
        <f t="shared" si="39"/>
        <v>0</v>
      </c>
      <c r="AA122" s="201" t="str">
        <f t="shared" ref="AA122:AA130" si="55">IF($O$27=6,R232,IF(ISERROR(AA121+1),"-",IF(AND($K$30&gt;0,$K$29&gt;=24,AA121+1&lt;=$K$30),AA121+1,"-")))</f>
        <v>-</v>
      </c>
      <c r="AB122" s="198">
        <f t="shared" si="52"/>
        <v>0</v>
      </c>
      <c r="AC122" s="202">
        <f t="shared" ref="AC122:AC130" si="56">IF($O$27=6,T232,IF(AB122&gt;0,$Q$30+AC121,0))</f>
        <v>0</v>
      </c>
      <c r="AD122" s="210">
        <f t="shared" si="54"/>
        <v>0</v>
      </c>
      <c r="AE122" s="321" t="str">
        <f t="shared" si="45"/>
        <v>-</v>
      </c>
      <c r="AF122" s="198">
        <f t="shared" si="49"/>
        <v>0</v>
      </c>
      <c r="AG122" s="322">
        <f t="shared" si="42"/>
        <v>0</v>
      </c>
      <c r="AH122" s="319">
        <f t="shared" si="47"/>
        <v>0</v>
      </c>
      <c r="AI122" s="321" t="str">
        <f t="shared" si="46"/>
        <v>-</v>
      </c>
      <c r="AJ122" s="198">
        <f t="shared" si="53"/>
        <v>0</v>
      </c>
      <c r="AK122" s="322">
        <f t="shared" si="50"/>
        <v>0</v>
      </c>
      <c r="AL122" s="326">
        <f t="shared" si="38"/>
        <v>0</v>
      </c>
    </row>
    <row r="123" spans="18:38" ht="17.25" customHeight="1" x14ac:dyDescent="0.2">
      <c r="R123" s="129" t="str">
        <f t="shared" si="51"/>
        <v/>
      </c>
      <c r="S123" s="451"/>
      <c r="T123" s="452"/>
      <c r="U123" s="130">
        <f t="shared" si="36"/>
        <v>0</v>
      </c>
      <c r="W123" s="201" t="str">
        <f t="shared" si="43"/>
        <v>-</v>
      </c>
      <c r="X123" s="198">
        <f t="shared" si="48"/>
        <v>0</v>
      </c>
      <c r="Y123" s="199">
        <f t="shared" si="44"/>
        <v>0</v>
      </c>
      <c r="Z123" s="210">
        <f t="shared" si="39"/>
        <v>0</v>
      </c>
      <c r="AA123" s="201" t="str">
        <f t="shared" si="55"/>
        <v>-</v>
      </c>
      <c r="AB123" s="198">
        <f t="shared" si="52"/>
        <v>0</v>
      </c>
      <c r="AC123" s="202">
        <f t="shared" si="56"/>
        <v>0</v>
      </c>
      <c r="AD123" s="210">
        <f t="shared" si="54"/>
        <v>0</v>
      </c>
      <c r="AE123" s="321" t="str">
        <f t="shared" si="45"/>
        <v>-</v>
      </c>
      <c r="AF123" s="198">
        <f t="shared" si="49"/>
        <v>0</v>
      </c>
      <c r="AG123" s="322">
        <f t="shared" si="42"/>
        <v>0</v>
      </c>
      <c r="AH123" s="319">
        <f t="shared" si="47"/>
        <v>0</v>
      </c>
      <c r="AI123" s="321" t="str">
        <f t="shared" si="46"/>
        <v>-</v>
      </c>
      <c r="AJ123" s="198">
        <f t="shared" si="53"/>
        <v>0</v>
      </c>
      <c r="AK123" s="322">
        <f t="shared" si="50"/>
        <v>0</v>
      </c>
      <c r="AL123" s="326">
        <f t="shared" si="38"/>
        <v>0</v>
      </c>
    </row>
    <row r="124" spans="18:38" ht="17.25" customHeight="1" x14ac:dyDescent="0.2">
      <c r="R124" s="129" t="str">
        <f t="shared" si="51"/>
        <v/>
      </c>
      <c r="S124" s="451"/>
      <c r="T124" s="452"/>
      <c r="U124" s="130">
        <f t="shared" si="36"/>
        <v>0</v>
      </c>
      <c r="W124" s="201" t="str">
        <f t="shared" si="43"/>
        <v>-</v>
      </c>
      <c r="X124" s="198">
        <f t="shared" si="48"/>
        <v>0</v>
      </c>
      <c r="Y124" s="199">
        <f t="shared" si="44"/>
        <v>0</v>
      </c>
      <c r="Z124" s="210">
        <f t="shared" si="39"/>
        <v>0</v>
      </c>
      <c r="AA124" s="201" t="str">
        <f t="shared" si="55"/>
        <v>-</v>
      </c>
      <c r="AB124" s="198">
        <f t="shared" si="52"/>
        <v>0</v>
      </c>
      <c r="AC124" s="202">
        <f t="shared" si="56"/>
        <v>0</v>
      </c>
      <c r="AD124" s="210">
        <f t="shared" si="54"/>
        <v>0</v>
      </c>
      <c r="AE124" s="321" t="str">
        <f t="shared" si="45"/>
        <v>-</v>
      </c>
      <c r="AF124" s="198">
        <f t="shared" si="49"/>
        <v>0</v>
      </c>
      <c r="AG124" s="322">
        <f t="shared" si="42"/>
        <v>0</v>
      </c>
      <c r="AH124" s="319">
        <f t="shared" si="47"/>
        <v>0</v>
      </c>
      <c r="AI124" s="321" t="str">
        <f t="shared" si="46"/>
        <v>-</v>
      </c>
      <c r="AJ124" s="198">
        <f t="shared" si="53"/>
        <v>0</v>
      </c>
      <c r="AK124" s="322">
        <f t="shared" si="50"/>
        <v>0</v>
      </c>
      <c r="AL124" s="326">
        <f t="shared" si="38"/>
        <v>0</v>
      </c>
    </row>
    <row r="125" spans="18:38" ht="17.25" customHeight="1" x14ac:dyDescent="0.2">
      <c r="R125" s="129" t="str">
        <f t="shared" si="51"/>
        <v/>
      </c>
      <c r="S125" s="451"/>
      <c r="T125" s="452"/>
      <c r="U125" s="130">
        <f t="shared" si="36"/>
        <v>0</v>
      </c>
      <c r="W125" s="201" t="str">
        <f t="shared" si="43"/>
        <v>-</v>
      </c>
      <c r="X125" s="198">
        <f t="shared" si="48"/>
        <v>0</v>
      </c>
      <c r="Y125" s="199">
        <f t="shared" si="44"/>
        <v>0</v>
      </c>
      <c r="Z125" s="210">
        <f t="shared" si="39"/>
        <v>0</v>
      </c>
      <c r="AA125" s="201" t="str">
        <f t="shared" si="55"/>
        <v>-</v>
      </c>
      <c r="AB125" s="198">
        <f t="shared" si="52"/>
        <v>0</v>
      </c>
      <c r="AC125" s="202">
        <f t="shared" si="56"/>
        <v>0</v>
      </c>
      <c r="AD125" s="210">
        <f t="shared" si="54"/>
        <v>0</v>
      </c>
      <c r="AE125" s="321" t="str">
        <f t="shared" si="45"/>
        <v>-</v>
      </c>
      <c r="AF125" s="198">
        <f t="shared" si="49"/>
        <v>0</v>
      </c>
      <c r="AG125" s="322">
        <f t="shared" si="42"/>
        <v>0</v>
      </c>
      <c r="AH125" s="319">
        <f t="shared" si="47"/>
        <v>0</v>
      </c>
      <c r="AI125" s="321" t="str">
        <f t="shared" si="46"/>
        <v>-</v>
      </c>
      <c r="AJ125" s="198">
        <f t="shared" si="53"/>
        <v>0</v>
      </c>
      <c r="AK125" s="322">
        <f t="shared" si="50"/>
        <v>0</v>
      </c>
      <c r="AL125" s="326">
        <f t="shared" si="38"/>
        <v>0</v>
      </c>
    </row>
    <row r="126" spans="18:38" ht="17.25" customHeight="1" x14ac:dyDescent="0.2">
      <c r="R126" s="129" t="str">
        <f t="shared" si="51"/>
        <v/>
      </c>
      <c r="S126" s="451"/>
      <c r="T126" s="452"/>
      <c r="U126" s="130">
        <f t="shared" si="36"/>
        <v>0</v>
      </c>
      <c r="W126" s="201" t="str">
        <f t="shared" si="43"/>
        <v>-</v>
      </c>
      <c r="X126" s="198">
        <f t="shared" ref="X126:X134" si="57">IF(AND(W126&lt;&gt;"-",$K$29&gt;=24),IF($O$27=6,S126,IF($E$41&gt;0,$E$41/($K$30-$K$31),1000000/($K$30-$K$31))),0)</f>
        <v>0</v>
      </c>
      <c r="Y126" s="199">
        <f t="shared" si="44"/>
        <v>0</v>
      </c>
      <c r="Z126" s="210">
        <f t="shared" si="39"/>
        <v>0</v>
      </c>
      <c r="AA126" s="201" t="str">
        <f t="shared" si="55"/>
        <v>-</v>
      </c>
      <c r="AB126" s="198">
        <f t="shared" si="52"/>
        <v>0</v>
      </c>
      <c r="AC126" s="202">
        <f t="shared" si="56"/>
        <v>0</v>
      </c>
      <c r="AD126" s="210">
        <f t="shared" si="54"/>
        <v>0</v>
      </c>
      <c r="AE126" s="321" t="str">
        <f t="shared" si="45"/>
        <v>-</v>
      </c>
      <c r="AF126" s="198">
        <f t="shared" ref="AF126:AF134" si="58">IF(AND(AE126&lt;&gt;"-",$K$29&gt;=24),IF($O$27=6,S126,IF($J$41&gt;0,$J$41/($K$30-$K$31),1000000/($K$30-$K$31))),0)</f>
        <v>0</v>
      </c>
      <c r="AG126" s="322">
        <f t="shared" si="42"/>
        <v>0</v>
      </c>
      <c r="AH126" s="319">
        <f t="shared" si="47"/>
        <v>0</v>
      </c>
      <c r="AI126" s="321" t="str">
        <f t="shared" si="46"/>
        <v>-</v>
      </c>
      <c r="AJ126" s="198">
        <f t="shared" si="53"/>
        <v>0</v>
      </c>
      <c r="AK126" s="322">
        <f t="shared" si="50"/>
        <v>0</v>
      </c>
      <c r="AL126" s="326">
        <f t="shared" si="38"/>
        <v>0</v>
      </c>
    </row>
    <row r="127" spans="18:38" ht="17.25" customHeight="1" x14ac:dyDescent="0.2">
      <c r="R127" s="129" t="str">
        <f t="shared" si="51"/>
        <v/>
      </c>
      <c r="S127" s="451"/>
      <c r="T127" s="452"/>
      <c r="U127" s="130">
        <f t="shared" si="36"/>
        <v>0</v>
      </c>
      <c r="W127" s="201" t="str">
        <f t="shared" ref="W127:W134" si="59">IF($O$27=6,R127,IF(ISERROR(W126+1),"-",IF(AND($K$30&gt;0,$K$29&gt;=24,W126+1&lt;=$K$30),W126+1,"-")))</f>
        <v>-</v>
      </c>
      <c r="X127" s="198">
        <f t="shared" si="57"/>
        <v>0</v>
      </c>
      <c r="Y127" s="199">
        <f t="shared" ref="Y127:Y134" si="60">IF($O$27=6,T127,IF(X127&gt;0,$Q$30+Y126,0))</f>
        <v>0</v>
      </c>
      <c r="Z127" s="210">
        <f t="shared" ref="Z127:Z134" si="61">X127*Y127/12</f>
        <v>0</v>
      </c>
      <c r="AA127" s="201" t="str">
        <f t="shared" si="55"/>
        <v>-</v>
      </c>
      <c r="AB127" s="198">
        <f t="shared" si="52"/>
        <v>0</v>
      </c>
      <c r="AC127" s="202">
        <f t="shared" si="56"/>
        <v>0</v>
      </c>
      <c r="AD127" s="210">
        <f t="shared" si="54"/>
        <v>0</v>
      </c>
      <c r="AE127" s="321" t="str">
        <f t="shared" si="45"/>
        <v>-</v>
      </c>
      <c r="AF127" s="198">
        <f t="shared" si="58"/>
        <v>0</v>
      </c>
      <c r="AG127" s="322">
        <f t="shared" si="42"/>
        <v>0</v>
      </c>
      <c r="AH127" s="319">
        <f t="shared" si="47"/>
        <v>0</v>
      </c>
      <c r="AI127" s="321" t="str">
        <f t="shared" si="46"/>
        <v>-</v>
      </c>
      <c r="AJ127" s="198">
        <f t="shared" si="53"/>
        <v>0</v>
      </c>
      <c r="AK127" s="322">
        <f t="shared" si="50"/>
        <v>0</v>
      </c>
      <c r="AL127" s="326">
        <f t="shared" si="38"/>
        <v>0</v>
      </c>
    </row>
    <row r="128" spans="18:38" ht="17.25" customHeight="1" x14ac:dyDescent="0.2">
      <c r="R128" s="129" t="str">
        <f t="shared" si="51"/>
        <v/>
      </c>
      <c r="S128" s="451"/>
      <c r="T128" s="452"/>
      <c r="U128" s="130">
        <f t="shared" si="36"/>
        <v>0</v>
      </c>
      <c r="W128" s="201" t="str">
        <f t="shared" si="59"/>
        <v>-</v>
      </c>
      <c r="X128" s="198">
        <f t="shared" si="57"/>
        <v>0</v>
      </c>
      <c r="Y128" s="199">
        <f t="shared" si="60"/>
        <v>0</v>
      </c>
      <c r="Z128" s="210">
        <f t="shared" si="61"/>
        <v>0</v>
      </c>
      <c r="AA128" s="201" t="str">
        <f t="shared" si="55"/>
        <v>-</v>
      </c>
      <c r="AB128" s="198">
        <f t="shared" si="52"/>
        <v>0</v>
      </c>
      <c r="AC128" s="202">
        <f t="shared" si="56"/>
        <v>0</v>
      </c>
      <c r="AD128" s="210">
        <f t="shared" si="54"/>
        <v>0</v>
      </c>
      <c r="AE128" s="321" t="str">
        <f t="shared" si="45"/>
        <v>-</v>
      </c>
      <c r="AF128" s="198">
        <f t="shared" si="58"/>
        <v>0</v>
      </c>
      <c r="AG128" s="322">
        <f t="shared" si="42"/>
        <v>0</v>
      </c>
      <c r="AH128" s="319">
        <f t="shared" si="47"/>
        <v>0</v>
      </c>
      <c r="AI128" s="321" t="str">
        <f t="shared" si="46"/>
        <v>-</v>
      </c>
      <c r="AJ128" s="198">
        <f t="shared" si="53"/>
        <v>0</v>
      </c>
      <c r="AK128" s="322">
        <f t="shared" si="50"/>
        <v>0</v>
      </c>
      <c r="AL128" s="326">
        <f t="shared" si="38"/>
        <v>0</v>
      </c>
    </row>
    <row r="129" spans="18:38" ht="17.25" customHeight="1" x14ac:dyDescent="0.2">
      <c r="R129" s="129" t="str">
        <f t="shared" si="51"/>
        <v/>
      </c>
      <c r="S129" s="451"/>
      <c r="T129" s="452"/>
      <c r="U129" s="130">
        <f t="shared" si="36"/>
        <v>0</v>
      </c>
      <c r="W129" s="201" t="str">
        <f t="shared" si="59"/>
        <v>-</v>
      </c>
      <c r="X129" s="198">
        <f t="shared" si="57"/>
        <v>0</v>
      </c>
      <c r="Y129" s="199">
        <f t="shared" si="60"/>
        <v>0</v>
      </c>
      <c r="Z129" s="210">
        <f t="shared" si="61"/>
        <v>0</v>
      </c>
      <c r="AA129" s="201" t="str">
        <f t="shared" si="55"/>
        <v>-</v>
      </c>
      <c r="AB129" s="198">
        <f t="shared" si="52"/>
        <v>0</v>
      </c>
      <c r="AC129" s="202">
        <f t="shared" si="56"/>
        <v>0</v>
      </c>
      <c r="AD129" s="210">
        <f t="shared" si="54"/>
        <v>0</v>
      </c>
      <c r="AE129" s="321" t="str">
        <f t="shared" si="45"/>
        <v>-</v>
      </c>
      <c r="AF129" s="198">
        <f t="shared" si="58"/>
        <v>0</v>
      </c>
      <c r="AG129" s="322">
        <f t="shared" si="42"/>
        <v>0</v>
      </c>
      <c r="AH129" s="319">
        <f t="shared" si="47"/>
        <v>0</v>
      </c>
      <c r="AI129" s="321" t="str">
        <f t="shared" si="46"/>
        <v>-</v>
      </c>
      <c r="AJ129" s="198">
        <f t="shared" si="53"/>
        <v>0</v>
      </c>
      <c r="AK129" s="322">
        <f t="shared" si="50"/>
        <v>0</v>
      </c>
      <c r="AL129" s="326">
        <f t="shared" si="38"/>
        <v>0</v>
      </c>
    </row>
    <row r="130" spans="18:38" ht="17.25" customHeight="1" x14ac:dyDescent="0.2">
      <c r="R130" s="129" t="str">
        <f t="shared" si="51"/>
        <v/>
      </c>
      <c r="S130" s="451"/>
      <c r="T130" s="452"/>
      <c r="U130" s="130">
        <f t="shared" si="36"/>
        <v>0</v>
      </c>
      <c r="W130" s="201" t="str">
        <f t="shared" si="59"/>
        <v>-</v>
      </c>
      <c r="X130" s="198">
        <f t="shared" si="57"/>
        <v>0</v>
      </c>
      <c r="Y130" s="199">
        <f t="shared" si="60"/>
        <v>0</v>
      </c>
      <c r="Z130" s="210">
        <f t="shared" si="61"/>
        <v>0</v>
      </c>
      <c r="AA130" s="201" t="str">
        <f t="shared" si="55"/>
        <v>-</v>
      </c>
      <c r="AB130" s="198">
        <f t="shared" si="52"/>
        <v>0</v>
      </c>
      <c r="AC130" s="202">
        <f t="shared" si="56"/>
        <v>0</v>
      </c>
      <c r="AD130" s="210">
        <f t="shared" si="54"/>
        <v>0</v>
      </c>
      <c r="AE130" s="321" t="str">
        <f t="shared" si="45"/>
        <v>-</v>
      </c>
      <c r="AF130" s="198">
        <f t="shared" si="58"/>
        <v>0</v>
      </c>
      <c r="AG130" s="322">
        <f t="shared" si="42"/>
        <v>0</v>
      </c>
      <c r="AH130" s="319">
        <f t="shared" si="47"/>
        <v>0</v>
      </c>
      <c r="AI130" s="321" t="str">
        <f t="shared" si="46"/>
        <v>-</v>
      </c>
      <c r="AJ130" s="198">
        <f t="shared" si="53"/>
        <v>0</v>
      </c>
      <c r="AK130" s="322">
        <f t="shared" si="50"/>
        <v>0</v>
      </c>
      <c r="AL130" s="326">
        <f t="shared" si="38"/>
        <v>0</v>
      </c>
    </row>
    <row r="131" spans="18:38" ht="17.25" customHeight="1" x14ac:dyDescent="0.2">
      <c r="R131" s="129" t="str">
        <f t="shared" si="51"/>
        <v/>
      </c>
      <c r="S131" s="451"/>
      <c r="T131" s="452"/>
      <c r="U131" s="130">
        <f t="shared" si="36"/>
        <v>0</v>
      </c>
      <c r="W131" s="201" t="str">
        <f t="shared" si="59"/>
        <v>-</v>
      </c>
      <c r="X131" s="198">
        <f t="shared" si="57"/>
        <v>0</v>
      </c>
      <c r="Y131" s="199">
        <f t="shared" si="60"/>
        <v>0</v>
      </c>
      <c r="Z131" s="210">
        <f t="shared" si="61"/>
        <v>0</v>
      </c>
      <c r="AA131" s="213"/>
      <c r="AB131" s="214">
        <f>SUM(X30:X134)+SUM(AB30:AB130)</f>
        <v>45000000</v>
      </c>
      <c r="AC131" s="215"/>
      <c r="AD131" s="210">
        <f>IF(AB131,SUM(Z30:Z134)+SUM(AD30:AD130),0)</f>
        <v>112500000</v>
      </c>
      <c r="AE131" s="321" t="str">
        <f t="shared" si="45"/>
        <v>-</v>
      </c>
      <c r="AF131" s="198">
        <f t="shared" si="58"/>
        <v>0</v>
      </c>
      <c r="AG131" s="322">
        <f t="shared" si="42"/>
        <v>0</v>
      </c>
      <c r="AH131" s="319">
        <f t="shared" si="47"/>
        <v>0</v>
      </c>
      <c r="AI131" s="327"/>
      <c r="AJ131" s="214">
        <f>SUM(AF30:AF134)+SUM(AJ30:AJ130)</f>
        <v>45000000</v>
      </c>
      <c r="AK131" s="328"/>
      <c r="AL131" s="326">
        <f>IF(AJ131,SUM(AH30:AH134)+SUM(AL30:AL130),0)</f>
        <v>112500000</v>
      </c>
    </row>
    <row r="132" spans="18:38" ht="17.25" customHeight="1" x14ac:dyDescent="0.2">
      <c r="R132" s="129" t="str">
        <f t="shared" si="51"/>
        <v/>
      </c>
      <c r="S132" s="451"/>
      <c r="T132" s="452"/>
      <c r="U132" s="130">
        <f t="shared" si="36"/>
        <v>0</v>
      </c>
      <c r="W132" s="201" t="str">
        <f t="shared" si="59"/>
        <v>-</v>
      </c>
      <c r="X132" s="198">
        <f t="shared" si="57"/>
        <v>0</v>
      </c>
      <c r="Y132" s="199">
        <f t="shared" si="60"/>
        <v>0</v>
      </c>
      <c r="Z132" s="210">
        <f t="shared" si="61"/>
        <v>0</v>
      </c>
      <c r="AA132" s="558" t="s">
        <v>105</v>
      </c>
      <c r="AB132" s="508"/>
      <c r="AC132" s="560">
        <f>IF(AB131,(AD131/AB131),0)</f>
        <v>2.5</v>
      </c>
      <c r="AE132" s="321" t="str">
        <f t="shared" si="45"/>
        <v>-</v>
      </c>
      <c r="AF132" s="198">
        <f t="shared" si="58"/>
        <v>0</v>
      </c>
      <c r="AG132" s="322">
        <f t="shared" si="42"/>
        <v>0</v>
      </c>
      <c r="AH132" s="319">
        <f t="shared" si="47"/>
        <v>0</v>
      </c>
      <c r="AI132" s="507" t="s">
        <v>105</v>
      </c>
      <c r="AJ132" s="508"/>
      <c r="AK132" s="511">
        <f>IF(AJ131,(AL131/AJ131),0)</f>
        <v>2.5</v>
      </c>
    </row>
    <row r="133" spans="18:38" ht="17.25" customHeight="1" thickBot="1" x14ac:dyDescent="0.25">
      <c r="R133" s="129" t="str">
        <f t="shared" si="51"/>
        <v/>
      </c>
      <c r="S133" s="451"/>
      <c r="T133" s="452"/>
      <c r="U133" s="130">
        <f t="shared" si="36"/>
        <v>0</v>
      </c>
      <c r="W133" s="201" t="str">
        <f t="shared" si="59"/>
        <v>-</v>
      </c>
      <c r="X133" s="198">
        <f t="shared" si="57"/>
        <v>0</v>
      </c>
      <c r="Y133" s="199">
        <f t="shared" si="60"/>
        <v>0</v>
      </c>
      <c r="Z133" s="210">
        <f t="shared" si="61"/>
        <v>0</v>
      </c>
      <c r="AA133" s="559"/>
      <c r="AB133" s="510"/>
      <c r="AC133" s="561"/>
      <c r="AE133" s="321" t="str">
        <f t="shared" si="45"/>
        <v>-</v>
      </c>
      <c r="AF133" s="198">
        <f t="shared" si="58"/>
        <v>0</v>
      </c>
      <c r="AG133" s="322">
        <f t="shared" si="42"/>
        <v>0</v>
      </c>
      <c r="AH133" s="319">
        <f t="shared" si="47"/>
        <v>0</v>
      </c>
      <c r="AI133" s="509"/>
      <c r="AJ133" s="510"/>
      <c r="AK133" s="512"/>
    </row>
    <row r="134" spans="18:38" ht="17.25" customHeight="1" thickTop="1" thickBot="1" x14ac:dyDescent="0.3">
      <c r="R134" s="129" t="str">
        <f t="shared" si="51"/>
        <v/>
      </c>
      <c r="S134" s="451"/>
      <c r="T134" s="452"/>
      <c r="U134" s="130">
        <f t="shared" si="36"/>
        <v>0</v>
      </c>
      <c r="W134" s="203" t="str">
        <f t="shared" si="59"/>
        <v>-</v>
      </c>
      <c r="X134" s="204">
        <f t="shared" si="57"/>
        <v>0</v>
      </c>
      <c r="Y134" s="205">
        <f t="shared" si="60"/>
        <v>0</v>
      </c>
      <c r="Z134" s="211">
        <f t="shared" si="61"/>
        <v>0</v>
      </c>
      <c r="AA134" s="216"/>
      <c r="AB134" s="217" t="s">
        <v>100</v>
      </c>
      <c r="AC134" s="218">
        <f>IF(AC132&gt;0,H27/24+(AC132-0.25)/0.5,0)</f>
        <v>5</v>
      </c>
      <c r="AE134" s="323" t="str">
        <f t="shared" si="45"/>
        <v>-</v>
      </c>
      <c r="AF134" s="324">
        <f t="shared" si="58"/>
        <v>0</v>
      </c>
      <c r="AG134" s="325">
        <f t="shared" si="42"/>
        <v>0</v>
      </c>
      <c r="AH134" s="320">
        <f t="shared" si="47"/>
        <v>0</v>
      </c>
      <c r="AI134" s="329"/>
      <c r="AJ134" s="330" t="s">
        <v>100</v>
      </c>
      <c r="AK134" s="331">
        <f>IF(AK132&gt;0,H27/24+(AK132-0.25)/0.5,0)</f>
        <v>5</v>
      </c>
    </row>
    <row r="135" spans="18:38" ht="17.25" customHeight="1" x14ac:dyDescent="0.2">
      <c r="R135" s="129" t="str">
        <f t="shared" si="51"/>
        <v/>
      </c>
      <c r="S135" s="451"/>
      <c r="T135" s="452"/>
      <c r="U135" s="130">
        <f t="shared" si="36"/>
        <v>0</v>
      </c>
    </row>
    <row r="136" spans="18:38" ht="17.25" customHeight="1" x14ac:dyDescent="0.2">
      <c r="R136" s="129" t="str">
        <f t="shared" si="51"/>
        <v/>
      </c>
      <c r="S136" s="451"/>
      <c r="T136" s="452"/>
      <c r="U136" s="130">
        <f t="shared" si="36"/>
        <v>0</v>
      </c>
    </row>
    <row r="137" spans="18:38" ht="17.25" customHeight="1" x14ac:dyDescent="0.2">
      <c r="R137" s="129" t="str">
        <f t="shared" si="51"/>
        <v/>
      </c>
      <c r="S137" s="451"/>
      <c r="T137" s="452"/>
      <c r="U137" s="130">
        <f t="shared" si="36"/>
        <v>0</v>
      </c>
    </row>
    <row r="138" spans="18:38" ht="17.25" customHeight="1" x14ac:dyDescent="0.2">
      <c r="R138" s="129" t="str">
        <f t="shared" si="51"/>
        <v/>
      </c>
      <c r="S138" s="451"/>
      <c r="T138" s="452"/>
      <c r="U138" s="130">
        <f t="shared" si="36"/>
        <v>0</v>
      </c>
    </row>
    <row r="139" spans="18:38" ht="17.25" customHeight="1" x14ac:dyDescent="0.2">
      <c r="R139" s="129" t="str">
        <f t="shared" si="51"/>
        <v/>
      </c>
      <c r="S139" s="451"/>
      <c r="T139" s="452"/>
      <c r="U139" s="130">
        <f t="shared" si="36"/>
        <v>0</v>
      </c>
    </row>
    <row r="140" spans="18:38" ht="17.25" customHeight="1" x14ac:dyDescent="0.2">
      <c r="R140" s="129" t="str">
        <f t="shared" si="51"/>
        <v/>
      </c>
      <c r="S140" s="451"/>
      <c r="T140" s="452"/>
      <c r="U140" s="130">
        <f t="shared" si="36"/>
        <v>0</v>
      </c>
    </row>
    <row r="141" spans="18:38" ht="17.25" customHeight="1" x14ac:dyDescent="0.2">
      <c r="R141" s="129" t="str">
        <f t="shared" si="51"/>
        <v/>
      </c>
      <c r="S141" s="451"/>
      <c r="T141" s="452"/>
      <c r="U141" s="130">
        <f t="shared" si="36"/>
        <v>0</v>
      </c>
    </row>
    <row r="142" spans="18:38" ht="17.25" customHeight="1" x14ac:dyDescent="0.2">
      <c r="R142" s="129" t="str">
        <f t="shared" si="51"/>
        <v/>
      </c>
      <c r="S142" s="451"/>
      <c r="T142" s="452"/>
      <c r="U142" s="130">
        <f t="shared" si="36"/>
        <v>0</v>
      </c>
    </row>
    <row r="143" spans="18:38" ht="17.25" customHeight="1" x14ac:dyDescent="0.2">
      <c r="R143" s="129" t="str">
        <f t="shared" si="51"/>
        <v/>
      </c>
      <c r="S143" s="451"/>
      <c r="T143" s="452"/>
      <c r="U143" s="130">
        <f t="shared" si="36"/>
        <v>0</v>
      </c>
    </row>
    <row r="144" spans="18:38" ht="17.25" customHeight="1" x14ac:dyDescent="0.2">
      <c r="R144" s="129" t="str">
        <f t="shared" si="51"/>
        <v/>
      </c>
      <c r="S144" s="451"/>
      <c r="T144" s="452"/>
      <c r="U144" s="130">
        <f t="shared" si="36"/>
        <v>0</v>
      </c>
    </row>
    <row r="145" spans="18:21" ht="17.25" customHeight="1" x14ac:dyDescent="0.2">
      <c r="R145" s="129" t="str">
        <f t="shared" si="51"/>
        <v/>
      </c>
      <c r="S145" s="451"/>
      <c r="T145" s="452"/>
      <c r="U145" s="130">
        <f t="shared" si="36"/>
        <v>0</v>
      </c>
    </row>
    <row r="146" spans="18:21" ht="17.25" customHeight="1" x14ac:dyDescent="0.2">
      <c r="R146" s="129" t="str">
        <f t="shared" si="51"/>
        <v/>
      </c>
      <c r="S146" s="451"/>
      <c r="T146" s="452"/>
      <c r="U146" s="130">
        <f t="shared" si="36"/>
        <v>0</v>
      </c>
    </row>
    <row r="147" spans="18:21" ht="17.25" customHeight="1" x14ac:dyDescent="0.2">
      <c r="R147" s="129" t="str">
        <f t="shared" si="51"/>
        <v/>
      </c>
      <c r="S147" s="451"/>
      <c r="T147" s="452"/>
      <c r="U147" s="130">
        <f t="shared" si="36"/>
        <v>0</v>
      </c>
    </row>
    <row r="148" spans="18:21" ht="17.25" customHeight="1" x14ac:dyDescent="0.2">
      <c r="R148" s="129" t="str">
        <f t="shared" si="51"/>
        <v/>
      </c>
      <c r="S148" s="451"/>
      <c r="T148" s="452"/>
      <c r="U148" s="130">
        <f t="shared" si="36"/>
        <v>0</v>
      </c>
    </row>
    <row r="149" spans="18:21" ht="17.25" customHeight="1" x14ac:dyDescent="0.2">
      <c r="R149" s="129" t="str">
        <f t="shared" si="51"/>
        <v/>
      </c>
      <c r="S149" s="451"/>
      <c r="T149" s="452"/>
      <c r="U149" s="130">
        <f t="shared" si="36"/>
        <v>0</v>
      </c>
    </row>
    <row r="150" spans="18:21" ht="17.25" customHeight="1" x14ac:dyDescent="0.2">
      <c r="R150" s="129" t="str">
        <f t="shared" si="51"/>
        <v/>
      </c>
      <c r="S150" s="451"/>
      <c r="T150" s="452"/>
      <c r="U150" s="130">
        <f t="shared" si="36"/>
        <v>0</v>
      </c>
    </row>
    <row r="151" spans="18:21" ht="17.25" customHeight="1" x14ac:dyDescent="0.2">
      <c r="R151" s="129" t="str">
        <f t="shared" si="51"/>
        <v/>
      </c>
      <c r="S151" s="451"/>
      <c r="T151" s="452"/>
      <c r="U151" s="130">
        <f t="shared" si="36"/>
        <v>0</v>
      </c>
    </row>
    <row r="152" spans="18:21" ht="17.25" customHeight="1" x14ac:dyDescent="0.2">
      <c r="R152" s="129" t="str">
        <f t="shared" si="51"/>
        <v/>
      </c>
      <c r="S152" s="451"/>
      <c r="T152" s="452"/>
      <c r="U152" s="130">
        <f t="shared" si="36"/>
        <v>0</v>
      </c>
    </row>
    <row r="153" spans="18:21" ht="17.25" customHeight="1" x14ac:dyDescent="0.2">
      <c r="R153" s="129" t="str">
        <f t="shared" si="51"/>
        <v/>
      </c>
      <c r="S153" s="451"/>
      <c r="T153" s="452"/>
      <c r="U153" s="130">
        <f t="shared" ref="U153:U216" si="62">S153*T153</f>
        <v>0</v>
      </c>
    </row>
    <row r="154" spans="18:21" ht="17.25" customHeight="1" x14ac:dyDescent="0.2">
      <c r="R154" s="129" t="str">
        <f t="shared" si="51"/>
        <v/>
      </c>
      <c r="S154" s="451"/>
      <c r="T154" s="452"/>
      <c r="U154" s="130">
        <f t="shared" si="62"/>
        <v>0</v>
      </c>
    </row>
    <row r="155" spans="18:21" ht="17.25" customHeight="1" x14ac:dyDescent="0.2">
      <c r="R155" s="129" t="str">
        <f t="shared" si="51"/>
        <v/>
      </c>
      <c r="S155" s="451"/>
      <c r="T155" s="452"/>
      <c r="U155" s="130">
        <f t="shared" si="62"/>
        <v>0</v>
      </c>
    </row>
    <row r="156" spans="18:21" ht="17.25" customHeight="1" x14ac:dyDescent="0.2">
      <c r="R156" s="129" t="str">
        <f t="shared" si="51"/>
        <v/>
      </c>
      <c r="S156" s="451"/>
      <c r="T156" s="452"/>
      <c r="U156" s="130">
        <f t="shared" si="62"/>
        <v>0</v>
      </c>
    </row>
    <row r="157" spans="18:21" ht="17.25" customHeight="1" x14ac:dyDescent="0.2">
      <c r="R157" s="129" t="str">
        <f t="shared" si="51"/>
        <v/>
      </c>
      <c r="S157" s="451"/>
      <c r="T157" s="452"/>
      <c r="U157" s="130">
        <f t="shared" si="62"/>
        <v>0</v>
      </c>
    </row>
    <row r="158" spans="18:21" ht="17.25" customHeight="1" x14ac:dyDescent="0.2">
      <c r="R158" s="129" t="str">
        <f t="shared" si="51"/>
        <v/>
      </c>
      <c r="S158" s="451"/>
      <c r="T158" s="452"/>
      <c r="U158" s="130">
        <f t="shared" si="62"/>
        <v>0</v>
      </c>
    </row>
    <row r="159" spans="18:21" ht="17.25" customHeight="1" x14ac:dyDescent="0.2">
      <c r="R159" s="129" t="str">
        <f t="shared" si="51"/>
        <v/>
      </c>
      <c r="S159" s="451"/>
      <c r="T159" s="452"/>
      <c r="U159" s="130">
        <f t="shared" si="62"/>
        <v>0</v>
      </c>
    </row>
    <row r="160" spans="18:21" ht="17.25" customHeight="1" x14ac:dyDescent="0.2">
      <c r="R160" s="129" t="str">
        <f t="shared" ref="R160:R223" si="63">IF(OR(S160&gt;0,T160&gt;9),R159+1,"")</f>
        <v/>
      </c>
      <c r="S160" s="451"/>
      <c r="T160" s="452"/>
      <c r="U160" s="130">
        <f t="shared" si="62"/>
        <v>0</v>
      </c>
    </row>
    <row r="161" spans="18:21" ht="17.25" customHeight="1" x14ac:dyDescent="0.2">
      <c r="R161" s="129" t="str">
        <f t="shared" si="63"/>
        <v/>
      </c>
      <c r="S161" s="451"/>
      <c r="T161" s="452"/>
      <c r="U161" s="130">
        <f t="shared" si="62"/>
        <v>0</v>
      </c>
    </row>
    <row r="162" spans="18:21" ht="17.25" customHeight="1" x14ac:dyDescent="0.2">
      <c r="R162" s="129" t="str">
        <f t="shared" si="63"/>
        <v/>
      </c>
      <c r="S162" s="451"/>
      <c r="T162" s="452"/>
      <c r="U162" s="130">
        <f t="shared" si="62"/>
        <v>0</v>
      </c>
    </row>
    <row r="163" spans="18:21" ht="17.25" customHeight="1" x14ac:dyDescent="0.2">
      <c r="R163" s="129" t="str">
        <f t="shared" si="63"/>
        <v/>
      </c>
      <c r="S163" s="451"/>
      <c r="T163" s="452"/>
      <c r="U163" s="130">
        <f t="shared" si="62"/>
        <v>0</v>
      </c>
    </row>
    <row r="164" spans="18:21" ht="17.25" customHeight="1" x14ac:dyDescent="0.2">
      <c r="R164" s="129" t="str">
        <f t="shared" si="63"/>
        <v/>
      </c>
      <c r="S164" s="451"/>
      <c r="T164" s="452"/>
      <c r="U164" s="130">
        <f t="shared" si="62"/>
        <v>0</v>
      </c>
    </row>
    <row r="165" spans="18:21" ht="17.25" customHeight="1" x14ac:dyDescent="0.2">
      <c r="R165" s="129" t="str">
        <f t="shared" si="63"/>
        <v/>
      </c>
      <c r="S165" s="451"/>
      <c r="T165" s="452"/>
      <c r="U165" s="130">
        <f t="shared" si="62"/>
        <v>0</v>
      </c>
    </row>
    <row r="166" spans="18:21" ht="17.25" customHeight="1" x14ac:dyDescent="0.2">
      <c r="R166" s="129" t="str">
        <f t="shared" si="63"/>
        <v/>
      </c>
      <c r="S166" s="451"/>
      <c r="T166" s="452"/>
      <c r="U166" s="130">
        <f t="shared" si="62"/>
        <v>0</v>
      </c>
    </row>
    <row r="167" spans="18:21" ht="17.25" customHeight="1" x14ac:dyDescent="0.2">
      <c r="R167" s="129" t="str">
        <f t="shared" si="63"/>
        <v/>
      </c>
      <c r="S167" s="451"/>
      <c r="T167" s="452"/>
      <c r="U167" s="130">
        <f t="shared" si="62"/>
        <v>0</v>
      </c>
    </row>
    <row r="168" spans="18:21" ht="17.25" customHeight="1" x14ac:dyDescent="0.2">
      <c r="R168" s="129" t="str">
        <f t="shared" si="63"/>
        <v/>
      </c>
      <c r="S168" s="451"/>
      <c r="T168" s="452"/>
      <c r="U168" s="130">
        <f t="shared" si="62"/>
        <v>0</v>
      </c>
    </row>
    <row r="169" spans="18:21" ht="17.25" customHeight="1" x14ac:dyDescent="0.2">
      <c r="R169" s="129" t="str">
        <f t="shared" si="63"/>
        <v/>
      </c>
      <c r="S169" s="451"/>
      <c r="T169" s="452"/>
      <c r="U169" s="130">
        <f t="shared" si="62"/>
        <v>0</v>
      </c>
    </row>
    <row r="170" spans="18:21" ht="17.25" customHeight="1" x14ac:dyDescent="0.2">
      <c r="R170" s="129" t="str">
        <f t="shared" si="63"/>
        <v/>
      </c>
      <c r="S170" s="451"/>
      <c r="T170" s="452"/>
      <c r="U170" s="130">
        <f t="shared" si="62"/>
        <v>0</v>
      </c>
    </row>
    <row r="171" spans="18:21" ht="17.25" customHeight="1" x14ac:dyDescent="0.2">
      <c r="R171" s="129" t="str">
        <f t="shared" si="63"/>
        <v/>
      </c>
      <c r="S171" s="451"/>
      <c r="T171" s="452"/>
      <c r="U171" s="130">
        <f t="shared" si="62"/>
        <v>0</v>
      </c>
    </row>
    <row r="172" spans="18:21" ht="17.25" customHeight="1" x14ac:dyDescent="0.2">
      <c r="R172" s="129" t="str">
        <f t="shared" si="63"/>
        <v/>
      </c>
      <c r="S172" s="451"/>
      <c r="T172" s="452"/>
      <c r="U172" s="130">
        <f t="shared" si="62"/>
        <v>0</v>
      </c>
    </row>
    <row r="173" spans="18:21" ht="17.25" customHeight="1" x14ac:dyDescent="0.2">
      <c r="R173" s="129" t="str">
        <f t="shared" si="63"/>
        <v/>
      </c>
      <c r="S173" s="451"/>
      <c r="T173" s="452"/>
      <c r="U173" s="130">
        <f t="shared" si="62"/>
        <v>0</v>
      </c>
    </row>
    <row r="174" spans="18:21" ht="17.25" customHeight="1" x14ac:dyDescent="0.2">
      <c r="R174" s="129" t="str">
        <f t="shared" si="63"/>
        <v/>
      </c>
      <c r="S174" s="451"/>
      <c r="T174" s="452"/>
      <c r="U174" s="130">
        <f t="shared" si="62"/>
        <v>0</v>
      </c>
    </row>
    <row r="175" spans="18:21" ht="17.25" customHeight="1" x14ac:dyDescent="0.2">
      <c r="R175" s="129" t="str">
        <f t="shared" si="63"/>
        <v/>
      </c>
      <c r="S175" s="451"/>
      <c r="T175" s="452"/>
      <c r="U175" s="130">
        <f t="shared" si="62"/>
        <v>0</v>
      </c>
    </row>
    <row r="176" spans="18:21" ht="17.25" customHeight="1" x14ac:dyDescent="0.2">
      <c r="R176" s="129" t="str">
        <f t="shared" si="63"/>
        <v/>
      </c>
      <c r="S176" s="451"/>
      <c r="T176" s="452"/>
      <c r="U176" s="130">
        <f t="shared" si="62"/>
        <v>0</v>
      </c>
    </row>
    <row r="177" spans="18:21" ht="17.25" customHeight="1" x14ac:dyDescent="0.2">
      <c r="R177" s="129" t="str">
        <f t="shared" si="63"/>
        <v/>
      </c>
      <c r="S177" s="451"/>
      <c r="T177" s="452"/>
      <c r="U177" s="130">
        <f t="shared" si="62"/>
        <v>0</v>
      </c>
    </row>
    <row r="178" spans="18:21" ht="17.25" customHeight="1" x14ac:dyDescent="0.2">
      <c r="R178" s="129" t="str">
        <f t="shared" si="63"/>
        <v/>
      </c>
      <c r="S178" s="451"/>
      <c r="T178" s="452"/>
      <c r="U178" s="130">
        <f t="shared" si="62"/>
        <v>0</v>
      </c>
    </row>
    <row r="179" spans="18:21" ht="17.25" customHeight="1" x14ac:dyDescent="0.2">
      <c r="R179" s="129" t="str">
        <f t="shared" si="63"/>
        <v/>
      </c>
      <c r="S179" s="451"/>
      <c r="T179" s="452"/>
      <c r="U179" s="130">
        <f t="shared" si="62"/>
        <v>0</v>
      </c>
    </row>
    <row r="180" spans="18:21" ht="17.25" customHeight="1" x14ac:dyDescent="0.2">
      <c r="R180" s="129" t="str">
        <f t="shared" si="63"/>
        <v/>
      </c>
      <c r="S180" s="451"/>
      <c r="T180" s="452"/>
      <c r="U180" s="130">
        <f t="shared" si="62"/>
        <v>0</v>
      </c>
    </row>
    <row r="181" spans="18:21" ht="17.25" customHeight="1" x14ac:dyDescent="0.2">
      <c r="R181" s="129" t="str">
        <f t="shared" si="63"/>
        <v/>
      </c>
      <c r="S181" s="451"/>
      <c r="T181" s="452"/>
      <c r="U181" s="130">
        <f t="shared" si="62"/>
        <v>0</v>
      </c>
    </row>
    <row r="182" spans="18:21" ht="17.25" customHeight="1" x14ac:dyDescent="0.2">
      <c r="R182" s="129" t="str">
        <f t="shared" si="63"/>
        <v/>
      </c>
      <c r="S182" s="451"/>
      <c r="T182" s="452"/>
      <c r="U182" s="130">
        <f t="shared" si="62"/>
        <v>0</v>
      </c>
    </row>
    <row r="183" spans="18:21" ht="17.25" customHeight="1" x14ac:dyDescent="0.2">
      <c r="R183" s="129" t="str">
        <f t="shared" si="63"/>
        <v/>
      </c>
      <c r="S183" s="451"/>
      <c r="T183" s="452"/>
      <c r="U183" s="130">
        <f t="shared" si="62"/>
        <v>0</v>
      </c>
    </row>
    <row r="184" spans="18:21" ht="17.25" customHeight="1" x14ac:dyDescent="0.2">
      <c r="R184" s="129" t="str">
        <f t="shared" si="63"/>
        <v/>
      </c>
      <c r="S184" s="451"/>
      <c r="T184" s="452"/>
      <c r="U184" s="130">
        <f t="shared" si="62"/>
        <v>0</v>
      </c>
    </row>
    <row r="185" spans="18:21" ht="17.25" customHeight="1" x14ac:dyDescent="0.2">
      <c r="R185" s="129" t="str">
        <f t="shared" si="63"/>
        <v/>
      </c>
      <c r="S185" s="451"/>
      <c r="T185" s="452"/>
      <c r="U185" s="130">
        <f t="shared" si="62"/>
        <v>0</v>
      </c>
    </row>
    <row r="186" spans="18:21" ht="17.25" customHeight="1" x14ac:dyDescent="0.2">
      <c r="R186" s="129" t="str">
        <f t="shared" si="63"/>
        <v/>
      </c>
      <c r="S186" s="451"/>
      <c r="T186" s="452"/>
      <c r="U186" s="130">
        <f t="shared" si="62"/>
        <v>0</v>
      </c>
    </row>
    <row r="187" spans="18:21" ht="17.25" customHeight="1" x14ac:dyDescent="0.2">
      <c r="R187" s="129" t="str">
        <f t="shared" si="63"/>
        <v/>
      </c>
      <c r="S187" s="451"/>
      <c r="T187" s="452"/>
      <c r="U187" s="130">
        <f t="shared" si="62"/>
        <v>0</v>
      </c>
    </row>
    <row r="188" spans="18:21" ht="17.25" customHeight="1" x14ac:dyDescent="0.2">
      <c r="R188" s="129" t="str">
        <f t="shared" si="63"/>
        <v/>
      </c>
      <c r="S188" s="451"/>
      <c r="T188" s="452"/>
      <c r="U188" s="130">
        <f t="shared" si="62"/>
        <v>0</v>
      </c>
    </row>
    <row r="189" spans="18:21" ht="17.25" customHeight="1" x14ac:dyDescent="0.2">
      <c r="R189" s="129" t="str">
        <f t="shared" si="63"/>
        <v/>
      </c>
      <c r="S189" s="451"/>
      <c r="T189" s="452"/>
      <c r="U189" s="130">
        <f t="shared" si="62"/>
        <v>0</v>
      </c>
    </row>
    <row r="190" spans="18:21" ht="17.25" customHeight="1" x14ac:dyDescent="0.2">
      <c r="R190" s="129" t="str">
        <f t="shared" si="63"/>
        <v/>
      </c>
      <c r="S190" s="451"/>
      <c r="T190" s="452"/>
      <c r="U190" s="130">
        <f t="shared" si="62"/>
        <v>0</v>
      </c>
    </row>
    <row r="191" spans="18:21" ht="17.25" customHeight="1" x14ac:dyDescent="0.2">
      <c r="R191" s="129" t="str">
        <f t="shared" si="63"/>
        <v/>
      </c>
      <c r="S191" s="451"/>
      <c r="T191" s="452"/>
      <c r="U191" s="130">
        <f t="shared" si="62"/>
        <v>0</v>
      </c>
    </row>
    <row r="192" spans="18:21" ht="17.25" customHeight="1" x14ac:dyDescent="0.2">
      <c r="R192" s="129" t="str">
        <f t="shared" si="63"/>
        <v/>
      </c>
      <c r="S192" s="451"/>
      <c r="T192" s="452"/>
      <c r="U192" s="130">
        <f t="shared" si="62"/>
        <v>0</v>
      </c>
    </row>
    <row r="193" spans="18:21" ht="17.25" customHeight="1" x14ac:dyDescent="0.2">
      <c r="R193" s="129" t="str">
        <f t="shared" si="63"/>
        <v/>
      </c>
      <c r="S193" s="451"/>
      <c r="T193" s="452"/>
      <c r="U193" s="130">
        <f t="shared" si="62"/>
        <v>0</v>
      </c>
    </row>
    <row r="194" spans="18:21" ht="17.25" customHeight="1" x14ac:dyDescent="0.2">
      <c r="R194" s="129" t="str">
        <f t="shared" si="63"/>
        <v/>
      </c>
      <c r="S194" s="451"/>
      <c r="T194" s="452"/>
      <c r="U194" s="130">
        <f t="shared" si="62"/>
        <v>0</v>
      </c>
    </row>
    <row r="195" spans="18:21" ht="17.25" customHeight="1" x14ac:dyDescent="0.2">
      <c r="R195" s="129" t="str">
        <f t="shared" si="63"/>
        <v/>
      </c>
      <c r="S195" s="451"/>
      <c r="T195" s="452"/>
      <c r="U195" s="130">
        <f t="shared" si="62"/>
        <v>0</v>
      </c>
    </row>
    <row r="196" spans="18:21" ht="17.25" customHeight="1" x14ac:dyDescent="0.2">
      <c r="R196" s="129" t="str">
        <f t="shared" si="63"/>
        <v/>
      </c>
      <c r="S196" s="451"/>
      <c r="T196" s="452"/>
      <c r="U196" s="130">
        <f t="shared" si="62"/>
        <v>0</v>
      </c>
    </row>
    <row r="197" spans="18:21" ht="17.25" customHeight="1" x14ac:dyDescent="0.2">
      <c r="R197" s="129" t="str">
        <f t="shared" si="63"/>
        <v/>
      </c>
      <c r="S197" s="451"/>
      <c r="T197" s="452"/>
      <c r="U197" s="130">
        <f t="shared" si="62"/>
        <v>0</v>
      </c>
    </row>
    <row r="198" spans="18:21" ht="17.25" customHeight="1" x14ac:dyDescent="0.2">
      <c r="R198" s="129" t="str">
        <f t="shared" si="63"/>
        <v/>
      </c>
      <c r="S198" s="451"/>
      <c r="T198" s="452"/>
      <c r="U198" s="130">
        <f t="shared" si="62"/>
        <v>0</v>
      </c>
    </row>
    <row r="199" spans="18:21" ht="17.25" customHeight="1" x14ac:dyDescent="0.2">
      <c r="R199" s="129" t="str">
        <f t="shared" si="63"/>
        <v/>
      </c>
      <c r="S199" s="451"/>
      <c r="T199" s="452"/>
      <c r="U199" s="130">
        <f t="shared" si="62"/>
        <v>0</v>
      </c>
    </row>
    <row r="200" spans="18:21" ht="17.25" customHeight="1" x14ac:dyDescent="0.2">
      <c r="R200" s="129" t="str">
        <f t="shared" si="63"/>
        <v/>
      </c>
      <c r="S200" s="451"/>
      <c r="T200" s="452"/>
      <c r="U200" s="130">
        <f t="shared" si="62"/>
        <v>0</v>
      </c>
    </row>
    <row r="201" spans="18:21" ht="17.25" customHeight="1" x14ac:dyDescent="0.2">
      <c r="R201" s="129" t="str">
        <f t="shared" si="63"/>
        <v/>
      </c>
      <c r="S201" s="451"/>
      <c r="T201" s="452"/>
      <c r="U201" s="130">
        <f t="shared" si="62"/>
        <v>0</v>
      </c>
    </row>
    <row r="202" spans="18:21" ht="17.25" customHeight="1" x14ac:dyDescent="0.2">
      <c r="R202" s="129" t="str">
        <f t="shared" si="63"/>
        <v/>
      </c>
      <c r="S202" s="451"/>
      <c r="T202" s="452"/>
      <c r="U202" s="130">
        <f t="shared" si="62"/>
        <v>0</v>
      </c>
    </row>
    <row r="203" spans="18:21" ht="17.25" customHeight="1" x14ac:dyDescent="0.2">
      <c r="R203" s="129" t="str">
        <f t="shared" si="63"/>
        <v/>
      </c>
      <c r="S203" s="451"/>
      <c r="T203" s="452"/>
      <c r="U203" s="130">
        <f t="shared" si="62"/>
        <v>0</v>
      </c>
    </row>
    <row r="204" spans="18:21" ht="17.25" customHeight="1" x14ac:dyDescent="0.2">
      <c r="R204" s="129" t="str">
        <f t="shared" si="63"/>
        <v/>
      </c>
      <c r="S204" s="451"/>
      <c r="T204" s="452"/>
      <c r="U204" s="130">
        <f t="shared" si="62"/>
        <v>0</v>
      </c>
    </row>
    <row r="205" spans="18:21" ht="17.25" customHeight="1" x14ac:dyDescent="0.2">
      <c r="R205" s="129" t="str">
        <f t="shared" si="63"/>
        <v/>
      </c>
      <c r="S205" s="451"/>
      <c r="T205" s="452"/>
      <c r="U205" s="130">
        <f t="shared" si="62"/>
        <v>0</v>
      </c>
    </row>
    <row r="206" spans="18:21" ht="17.25" customHeight="1" x14ac:dyDescent="0.2">
      <c r="R206" s="129" t="str">
        <f t="shared" si="63"/>
        <v/>
      </c>
      <c r="S206" s="451"/>
      <c r="T206" s="452"/>
      <c r="U206" s="130">
        <f t="shared" si="62"/>
        <v>0</v>
      </c>
    </row>
    <row r="207" spans="18:21" ht="17.25" customHeight="1" x14ac:dyDescent="0.2">
      <c r="R207" s="129" t="str">
        <f t="shared" si="63"/>
        <v/>
      </c>
      <c r="S207" s="451"/>
      <c r="T207" s="452"/>
      <c r="U207" s="130">
        <f t="shared" si="62"/>
        <v>0</v>
      </c>
    </row>
    <row r="208" spans="18:21" ht="17.25" customHeight="1" x14ac:dyDescent="0.2">
      <c r="R208" s="129" t="str">
        <f t="shared" si="63"/>
        <v/>
      </c>
      <c r="S208" s="451"/>
      <c r="T208" s="452"/>
      <c r="U208" s="130">
        <f t="shared" si="62"/>
        <v>0</v>
      </c>
    </row>
    <row r="209" spans="18:21" ht="17.25" customHeight="1" x14ac:dyDescent="0.2">
      <c r="R209" s="129" t="str">
        <f t="shared" si="63"/>
        <v/>
      </c>
      <c r="S209" s="451"/>
      <c r="T209" s="452"/>
      <c r="U209" s="130">
        <f t="shared" si="62"/>
        <v>0</v>
      </c>
    </row>
    <row r="210" spans="18:21" ht="17.25" customHeight="1" x14ac:dyDescent="0.2">
      <c r="R210" s="129" t="str">
        <f t="shared" si="63"/>
        <v/>
      </c>
      <c r="S210" s="451"/>
      <c r="T210" s="452"/>
      <c r="U210" s="130">
        <f t="shared" si="62"/>
        <v>0</v>
      </c>
    </row>
    <row r="211" spans="18:21" ht="17.25" customHeight="1" x14ac:dyDescent="0.2">
      <c r="R211" s="129" t="str">
        <f t="shared" si="63"/>
        <v/>
      </c>
      <c r="S211" s="451"/>
      <c r="T211" s="452"/>
      <c r="U211" s="130">
        <f t="shared" si="62"/>
        <v>0</v>
      </c>
    </row>
    <row r="212" spans="18:21" ht="17.25" customHeight="1" x14ac:dyDescent="0.2">
      <c r="R212" s="129" t="str">
        <f t="shared" si="63"/>
        <v/>
      </c>
      <c r="S212" s="451"/>
      <c r="T212" s="452"/>
      <c r="U212" s="130">
        <f t="shared" si="62"/>
        <v>0</v>
      </c>
    </row>
    <row r="213" spans="18:21" ht="17.25" customHeight="1" x14ac:dyDescent="0.2">
      <c r="R213" s="129" t="str">
        <f t="shared" si="63"/>
        <v/>
      </c>
      <c r="S213" s="451"/>
      <c r="T213" s="452"/>
      <c r="U213" s="130">
        <f t="shared" si="62"/>
        <v>0</v>
      </c>
    </row>
    <row r="214" spans="18:21" ht="17.25" customHeight="1" x14ac:dyDescent="0.2">
      <c r="R214" s="129" t="str">
        <f t="shared" si="63"/>
        <v/>
      </c>
      <c r="S214" s="451"/>
      <c r="T214" s="452"/>
      <c r="U214" s="130">
        <f t="shared" si="62"/>
        <v>0</v>
      </c>
    </row>
    <row r="215" spans="18:21" ht="17.25" customHeight="1" x14ac:dyDescent="0.2">
      <c r="R215" s="129" t="str">
        <f t="shared" si="63"/>
        <v/>
      </c>
      <c r="S215" s="451"/>
      <c r="T215" s="452"/>
      <c r="U215" s="130">
        <f t="shared" si="62"/>
        <v>0</v>
      </c>
    </row>
    <row r="216" spans="18:21" ht="17.25" customHeight="1" x14ac:dyDescent="0.2">
      <c r="R216" s="129" t="str">
        <f t="shared" si="63"/>
        <v/>
      </c>
      <c r="S216" s="451"/>
      <c r="T216" s="452"/>
      <c r="U216" s="130">
        <f t="shared" si="62"/>
        <v>0</v>
      </c>
    </row>
    <row r="217" spans="18:21" ht="17.25" customHeight="1" x14ac:dyDescent="0.2">
      <c r="R217" s="129" t="str">
        <f t="shared" si="63"/>
        <v/>
      </c>
      <c r="S217" s="451"/>
      <c r="T217" s="452"/>
      <c r="U217" s="130">
        <f t="shared" ref="U217:U240" si="64">S217*T217</f>
        <v>0</v>
      </c>
    </row>
    <row r="218" spans="18:21" ht="17.25" customHeight="1" x14ac:dyDescent="0.2">
      <c r="R218" s="129" t="str">
        <f t="shared" si="63"/>
        <v/>
      </c>
      <c r="S218" s="451"/>
      <c r="T218" s="452"/>
      <c r="U218" s="130">
        <f t="shared" si="64"/>
        <v>0</v>
      </c>
    </row>
    <row r="219" spans="18:21" ht="17.25" customHeight="1" x14ac:dyDescent="0.2">
      <c r="R219" s="129" t="str">
        <f t="shared" si="63"/>
        <v/>
      </c>
      <c r="S219" s="451"/>
      <c r="T219" s="452"/>
      <c r="U219" s="130">
        <f t="shared" si="64"/>
        <v>0</v>
      </c>
    </row>
    <row r="220" spans="18:21" ht="17.25" customHeight="1" x14ac:dyDescent="0.2">
      <c r="R220" s="129" t="str">
        <f t="shared" si="63"/>
        <v/>
      </c>
      <c r="S220" s="451"/>
      <c r="T220" s="452"/>
      <c r="U220" s="130">
        <f t="shared" si="64"/>
        <v>0</v>
      </c>
    </row>
    <row r="221" spans="18:21" ht="17.25" customHeight="1" x14ac:dyDescent="0.2">
      <c r="R221" s="129" t="str">
        <f t="shared" si="63"/>
        <v/>
      </c>
      <c r="S221" s="451"/>
      <c r="T221" s="452"/>
      <c r="U221" s="130">
        <f t="shared" si="64"/>
        <v>0</v>
      </c>
    </row>
    <row r="222" spans="18:21" ht="17.25" customHeight="1" x14ac:dyDescent="0.2">
      <c r="R222" s="129" t="str">
        <f t="shared" si="63"/>
        <v/>
      </c>
      <c r="S222" s="451"/>
      <c r="T222" s="452"/>
      <c r="U222" s="130">
        <f t="shared" si="64"/>
        <v>0</v>
      </c>
    </row>
    <row r="223" spans="18:21" ht="17.25" customHeight="1" x14ac:dyDescent="0.2">
      <c r="R223" s="129" t="str">
        <f t="shared" si="63"/>
        <v/>
      </c>
      <c r="S223" s="451"/>
      <c r="T223" s="452"/>
      <c r="U223" s="130">
        <f t="shared" si="64"/>
        <v>0</v>
      </c>
    </row>
    <row r="224" spans="18:21" ht="17.25" customHeight="1" x14ac:dyDescent="0.2">
      <c r="R224" s="129" t="str">
        <f t="shared" ref="R224:R240" si="65">IF(OR(S224&gt;0,T224&gt;9),R223+1,"")</f>
        <v/>
      </c>
      <c r="S224" s="451"/>
      <c r="T224" s="452"/>
      <c r="U224" s="130">
        <f t="shared" si="64"/>
        <v>0</v>
      </c>
    </row>
    <row r="225" spans="18:21" ht="17.25" customHeight="1" x14ac:dyDescent="0.2">
      <c r="R225" s="129" t="str">
        <f t="shared" si="65"/>
        <v/>
      </c>
      <c r="S225" s="451"/>
      <c r="T225" s="452"/>
      <c r="U225" s="130">
        <f t="shared" si="64"/>
        <v>0</v>
      </c>
    </row>
    <row r="226" spans="18:21" ht="17.25" customHeight="1" x14ac:dyDescent="0.2">
      <c r="R226" s="129" t="str">
        <f t="shared" si="65"/>
        <v/>
      </c>
      <c r="S226" s="451"/>
      <c r="T226" s="452"/>
      <c r="U226" s="130">
        <f t="shared" si="64"/>
        <v>0</v>
      </c>
    </row>
    <row r="227" spans="18:21" ht="17.25" customHeight="1" x14ac:dyDescent="0.2">
      <c r="R227" s="129" t="str">
        <f t="shared" si="65"/>
        <v/>
      </c>
      <c r="S227" s="451"/>
      <c r="T227" s="452"/>
      <c r="U227" s="130">
        <f t="shared" si="64"/>
        <v>0</v>
      </c>
    </row>
    <row r="228" spans="18:21" ht="17.25" customHeight="1" x14ac:dyDescent="0.2">
      <c r="R228" s="129" t="str">
        <f t="shared" si="65"/>
        <v/>
      </c>
      <c r="S228" s="451"/>
      <c r="T228" s="452"/>
      <c r="U228" s="130">
        <f t="shared" si="64"/>
        <v>0</v>
      </c>
    </row>
    <row r="229" spans="18:21" ht="17.25" customHeight="1" x14ac:dyDescent="0.2">
      <c r="R229" s="129" t="str">
        <f t="shared" si="65"/>
        <v/>
      </c>
      <c r="S229" s="451"/>
      <c r="T229" s="452"/>
      <c r="U229" s="130">
        <f t="shared" si="64"/>
        <v>0</v>
      </c>
    </row>
    <row r="230" spans="18:21" ht="17.25" customHeight="1" x14ac:dyDescent="0.2">
      <c r="R230" s="129" t="str">
        <f t="shared" si="65"/>
        <v/>
      </c>
      <c r="S230" s="451"/>
      <c r="T230" s="452"/>
      <c r="U230" s="130">
        <f t="shared" si="64"/>
        <v>0</v>
      </c>
    </row>
    <row r="231" spans="18:21" ht="17.25" customHeight="1" x14ac:dyDescent="0.2">
      <c r="R231" s="129" t="str">
        <f t="shared" si="65"/>
        <v/>
      </c>
      <c r="S231" s="451"/>
      <c r="T231" s="452"/>
      <c r="U231" s="130">
        <f t="shared" si="64"/>
        <v>0</v>
      </c>
    </row>
    <row r="232" spans="18:21" ht="17.25" customHeight="1" x14ac:dyDescent="0.2">
      <c r="R232" s="129" t="str">
        <f t="shared" si="65"/>
        <v/>
      </c>
      <c r="S232" s="451"/>
      <c r="T232" s="452"/>
      <c r="U232" s="130">
        <f t="shared" si="64"/>
        <v>0</v>
      </c>
    </row>
    <row r="233" spans="18:21" ht="17.25" customHeight="1" x14ac:dyDescent="0.2">
      <c r="R233" s="129" t="str">
        <f t="shared" si="65"/>
        <v/>
      </c>
      <c r="S233" s="451"/>
      <c r="T233" s="452"/>
      <c r="U233" s="130">
        <f t="shared" si="64"/>
        <v>0</v>
      </c>
    </row>
    <row r="234" spans="18:21" ht="17.25" customHeight="1" x14ac:dyDescent="0.2">
      <c r="R234" s="129" t="str">
        <f t="shared" si="65"/>
        <v/>
      </c>
      <c r="S234" s="451"/>
      <c r="T234" s="452"/>
      <c r="U234" s="130">
        <f t="shared" si="64"/>
        <v>0</v>
      </c>
    </row>
    <row r="235" spans="18:21" ht="17.25" customHeight="1" x14ac:dyDescent="0.2">
      <c r="R235" s="129" t="str">
        <f t="shared" si="65"/>
        <v/>
      </c>
      <c r="S235" s="451"/>
      <c r="T235" s="452"/>
      <c r="U235" s="130">
        <f t="shared" si="64"/>
        <v>0</v>
      </c>
    </row>
    <row r="236" spans="18:21" ht="17.25" customHeight="1" x14ac:dyDescent="0.2">
      <c r="R236" s="129" t="str">
        <f t="shared" si="65"/>
        <v/>
      </c>
      <c r="S236" s="451"/>
      <c r="T236" s="452"/>
      <c r="U236" s="130">
        <f t="shared" si="64"/>
        <v>0</v>
      </c>
    </row>
    <row r="237" spans="18:21" ht="17.25" customHeight="1" x14ac:dyDescent="0.2">
      <c r="R237" s="129" t="str">
        <f t="shared" si="65"/>
        <v/>
      </c>
      <c r="S237" s="451"/>
      <c r="T237" s="452"/>
      <c r="U237" s="130">
        <f t="shared" si="64"/>
        <v>0</v>
      </c>
    </row>
    <row r="238" spans="18:21" ht="17.25" customHeight="1" x14ac:dyDescent="0.2">
      <c r="R238" s="129" t="str">
        <f t="shared" si="65"/>
        <v/>
      </c>
      <c r="S238" s="451"/>
      <c r="T238" s="452"/>
      <c r="U238" s="130">
        <f t="shared" si="64"/>
        <v>0</v>
      </c>
    </row>
    <row r="239" spans="18:21" ht="17.25" customHeight="1" x14ac:dyDescent="0.2">
      <c r="R239" s="129" t="str">
        <f t="shared" si="65"/>
        <v/>
      </c>
      <c r="S239" s="451"/>
      <c r="T239" s="452"/>
      <c r="U239" s="130">
        <f t="shared" si="64"/>
        <v>0</v>
      </c>
    </row>
    <row r="240" spans="18:21" ht="17.25" customHeight="1" x14ac:dyDescent="0.2">
      <c r="R240" s="129" t="str">
        <f t="shared" si="65"/>
        <v/>
      </c>
      <c r="S240" s="451"/>
      <c r="T240" s="452"/>
      <c r="U240" s="130">
        <f t="shared" si="64"/>
        <v>0</v>
      </c>
    </row>
    <row r="241" spans="18:26" ht="17.25" customHeight="1" x14ac:dyDescent="0.2">
      <c r="R241" s="129"/>
      <c r="S241" s="157">
        <f>SUM(S30:S240)</f>
        <v>0</v>
      </c>
      <c r="T241" s="145"/>
      <c r="U241" s="130">
        <f>IF(S241,SUM(U30:U240),0)</f>
        <v>0</v>
      </c>
    </row>
    <row r="242" spans="18:26" x14ac:dyDescent="0.2">
      <c r="R242" s="552" t="s">
        <v>105</v>
      </c>
      <c r="S242" s="553"/>
      <c r="T242" s="556">
        <f>IF(S241,(U241/S241/12),0)</f>
        <v>0</v>
      </c>
    </row>
    <row r="243" spans="18:26" ht="13.5" thickBot="1" x14ac:dyDescent="0.25">
      <c r="R243" s="554"/>
      <c r="S243" s="555"/>
      <c r="T243" s="557"/>
    </row>
    <row r="244" spans="18:26" ht="16.5" thickTop="1" thickBot="1" x14ac:dyDescent="0.3">
      <c r="R244" s="160"/>
      <c r="S244" s="161" t="s">
        <v>100</v>
      </c>
      <c r="T244" s="184">
        <f>IF(T242&gt;0,H27/24+(T242-0.25)/0.5,0)</f>
        <v>0</v>
      </c>
    </row>
    <row r="245" spans="18:26" ht="13.5" thickTop="1" x14ac:dyDescent="0.2"/>
    <row r="246" spans="18:26" x14ac:dyDescent="0.2">
      <c r="S246" s="146">
        <f>18*12</f>
        <v>216</v>
      </c>
    </row>
    <row r="252" spans="18:26" x14ac:dyDescent="0.2">
      <c r="R252" s="125"/>
      <c r="S252" s="125"/>
      <c r="T252" s="125"/>
      <c r="U252" s="125"/>
      <c r="Z252" s="125"/>
    </row>
    <row r="253" spans="18:26" x14ac:dyDescent="0.2">
      <c r="R253" s="125"/>
      <c r="S253" s="125"/>
      <c r="T253" s="125"/>
      <c r="U253" s="125"/>
      <c r="Z253" s="125"/>
    </row>
    <row r="254" spans="18:26" x14ac:dyDescent="0.2">
      <c r="R254" s="125"/>
      <c r="S254" s="125"/>
      <c r="T254" s="125"/>
      <c r="U254" s="125"/>
      <c r="Z254" s="125"/>
    </row>
    <row r="255" spans="18:26" x14ac:dyDescent="0.2">
      <c r="R255" s="125"/>
      <c r="S255" s="125"/>
      <c r="T255" s="125"/>
      <c r="U255" s="125"/>
      <c r="Z255" s="125"/>
    </row>
    <row r="256" spans="18:26" x14ac:dyDescent="0.2">
      <c r="R256" s="125"/>
      <c r="S256" s="125"/>
      <c r="T256" s="125"/>
      <c r="U256" s="125"/>
      <c r="Z256" s="125"/>
    </row>
  </sheetData>
  <sheetProtection algorithmName="SHA-512" hashValue="ZBIJj5B1SDLFDb9yn1ihNElrdPjKg+51ASJMx0phK+rgdT8S6dmqxiA2bKgC9g4W+vsh/rVso7rwE6PVK7bk2Q==" saltValue="zL5/akiOgRw9/pgrse6p3Q==" spinCount="100000" sheet="1" selectLockedCells="1"/>
  <customSheetViews>
    <customSheetView guid="{C798F9DC-8C66-4C7B-B521-CB959D9721F2}" scale="90" showRowCol="0">
      <pane ySplit="7" topLeftCell="A17" activePane="bottomLeft" state="frozen"/>
      <selection pane="bottomLeft" activeCell="E22" sqref="E22:E23"/>
      <pageMargins left="0.23622047244094491" right="0.23622047244094491" top="0.35433070866141736" bottom="0.43307086614173229" header="0.23622047244094491" footer="0.19685039370078741"/>
      <printOptions horizontalCentered="1"/>
      <pageSetup paperSize="9" scale="58" fitToHeight="2" orientation="portrait" r:id="rId1"/>
      <headerFooter alignWithMargins="0">
        <oddHeader>&amp;F</oddHeader>
        <oddFooter>&amp;A&amp;RSeite &amp;P</oddFooter>
      </headerFooter>
    </customSheetView>
  </customSheetViews>
  <mergeCells count="49">
    <mergeCell ref="D47:D48"/>
    <mergeCell ref="U27:U29"/>
    <mergeCell ref="AA27:AA29"/>
    <mergeCell ref="AC27:AC29"/>
    <mergeCell ref="R242:S243"/>
    <mergeCell ref="T242:T243"/>
    <mergeCell ref="AA132:AB133"/>
    <mergeCell ref="AC132:AC133"/>
    <mergeCell ref="D39:E40"/>
    <mergeCell ref="B95:C95"/>
    <mergeCell ref="D51:H52"/>
    <mergeCell ref="D53:D55"/>
    <mergeCell ref="B75:C75"/>
    <mergeCell ref="B77:C77"/>
    <mergeCell ref="B86:C86"/>
    <mergeCell ref="F57:F59"/>
    <mergeCell ref="G64:H67"/>
    <mergeCell ref="D62:H62"/>
    <mergeCell ref="F53:H54"/>
    <mergeCell ref="D12:H12"/>
    <mergeCell ref="D18:H18"/>
    <mergeCell ref="D14:I14"/>
    <mergeCell ref="D21:I21"/>
    <mergeCell ref="D26:E26"/>
    <mergeCell ref="D22:I22"/>
    <mergeCell ref="D17:I17"/>
    <mergeCell ref="D15:I15"/>
    <mergeCell ref="AK27:AK29"/>
    <mergeCell ref="AI132:AJ133"/>
    <mergeCell ref="AK132:AK133"/>
    <mergeCell ref="AE26:AG26"/>
    <mergeCell ref="AE27:AE29"/>
    <mergeCell ref="AG27:AG29"/>
    <mergeCell ref="AI27:AI29"/>
    <mergeCell ref="W26:Y26"/>
    <mergeCell ref="W27:W29"/>
    <mergeCell ref="Y27:Y29"/>
    <mergeCell ref="R27:R29"/>
    <mergeCell ref="T27:T29"/>
    <mergeCell ref="R26:T26"/>
    <mergeCell ref="R17:T22"/>
    <mergeCell ref="H47:H48"/>
    <mergeCell ref="J41:K42"/>
    <mergeCell ref="K17:L17"/>
    <mergeCell ref="F31:H34"/>
    <mergeCell ref="G26:H26"/>
    <mergeCell ref="F39:F40"/>
    <mergeCell ref="G39:H40"/>
    <mergeCell ref="G47:G48"/>
  </mergeCells>
  <phoneticPr fontId="6" type="noConversion"/>
  <conditionalFormatting sqref="F41:F49">
    <cfRule type="cellIs" dxfId="16" priority="3" stopIfTrue="1" operator="equal">
      <formula>"./."</formula>
    </cfRule>
  </conditionalFormatting>
  <conditionalFormatting sqref="J41:J42">
    <cfRule type="cellIs" dxfId="15" priority="4" stopIfTrue="1" operator="equal">
      <formula>$E$41</formula>
    </cfRule>
  </conditionalFormatting>
  <conditionalFormatting sqref="K73:O81">
    <cfRule type="cellIs" dxfId="14" priority="6" stopIfTrue="1" operator="equal">
      <formula>"./."</formula>
    </cfRule>
  </conditionalFormatting>
  <conditionalFormatting sqref="P73:P85">
    <cfRule type="cellIs" dxfId="13" priority="7" stopIfTrue="1" operator="equal">
      <formula>#REF!</formula>
    </cfRule>
  </conditionalFormatting>
  <dataValidations xWindow="506" yWindow="535" count="8">
    <dataValidation type="date" allowBlank="1" showErrorMessage="1" error="Bitte geben Sie ein gültiges Datum ein!_x000a_Das Datum darf nicht vor dem Liefer- bzw. Auszahlungsbeginn liegen!" promptTitle="&quot;Starting Point&quot;" prompt="Bitte geben Sie den Beginn der Kreditlaufzeit ein. Beispielsweise bei halbjährlicher Tilgung sechs Monate vor erster Fälligkeit." sqref="E28">
      <formula1>E27</formula1>
      <formula2>73415</formula2>
    </dataValidation>
    <dataValidation type="date" errorStyle="information" allowBlank="1" showInputMessage="1" showErrorMessage="1" error="Bitte geben Sie ein gültiges Datum ein!" sqref="E27">
      <formula1>1</formula1>
      <formula2>73415</formula2>
    </dataValidation>
    <dataValidation allowBlank="1" showInputMessage="1" showErrorMessage="1" errorTitle="Länderkategorie von LK 0 - 7" sqref="J77 H42:I42 H44:I44 J74:J75 E44"/>
    <dataValidation type="list" allowBlank="1" showInputMessage="1" showErrorMessage="1" errorTitle="Länderkategorie von LK 0 - 7" sqref="H43:I43">
      <formula1>$P$73:$P$85</formula1>
    </dataValidation>
    <dataValidation type="list" allowBlank="1" showInputMessage="1" showErrorMessage="1" errorTitle="Länderkategorie von LK 0 - 7" sqref="E42">
      <formula1>"1,2,3,4,5,6,7"</formula1>
    </dataValidation>
    <dataValidation type="decimal" errorStyle="information" allowBlank="1" showInputMessage="1" showErrorMessage="1" error="Bitte geben Sie einen Wert bis maximal 35% ein._x000a_" sqref="E55">
      <formula1>0</formula1>
      <formula2>0.35</formula2>
    </dataValidation>
    <dataValidation type="list" allowBlank="1" showInputMessage="1" showErrorMessage="1" errorTitle="Länderkategorie von LK 0 - 7" sqref="J76">
      <formula1>$F$41:$F$48</formula1>
    </dataValidation>
    <dataValidation type="list" allowBlank="1" showInputMessage="1" showErrorMessage="1" errorTitle="Länderkategorie von LK 0 - 7" sqref="E43">
      <formula1>$F$41:$F$49</formula1>
    </dataValidation>
  </dataValidations>
  <printOptions horizontalCentered="1"/>
  <pageMargins left="0.23622047244094491" right="0.23622047244094491" top="0.74803149606299213" bottom="0.74803149606299213" header="0.31496062992125984" footer="0.31496062992125984"/>
  <pageSetup paperSize="9" scale="48" orientation="portrait" r:id="rId2"/>
  <headerFooter alignWithMargins="0">
    <oddHeader>&amp;R&amp;A</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2341" r:id="rId5" name="Drop Down 53">
              <controlPr defaultSize="0" autoLine="0" autoPict="0">
                <anchor moveWithCells="1" sizeWithCells="1">
                  <from>
                    <xdr:col>6</xdr:col>
                    <xdr:colOff>1323975</xdr:colOff>
                    <xdr:row>27</xdr:row>
                    <xdr:rowOff>0</xdr:rowOff>
                  </from>
                  <to>
                    <xdr:col>6</xdr:col>
                    <xdr:colOff>2390775</xdr:colOff>
                    <xdr:row>27</xdr:row>
                    <xdr:rowOff>257175</xdr:rowOff>
                  </to>
                </anchor>
              </controlPr>
            </control>
          </mc:Choice>
        </mc:AlternateContent>
        <mc:AlternateContent xmlns:mc="http://schemas.openxmlformats.org/markup-compatibility/2006">
          <mc:Choice Requires="x14">
            <control shapeId="12389" r:id="rId6" name="Drop Down 101">
              <controlPr defaultSize="0" autoLine="0" autoPict="0">
                <anchor moveWithCells="1" sizeWithCells="1">
                  <from>
                    <xdr:col>6</xdr:col>
                    <xdr:colOff>1323975</xdr:colOff>
                    <xdr:row>28</xdr:row>
                    <xdr:rowOff>19050</xdr:rowOff>
                  </from>
                  <to>
                    <xdr:col>6</xdr:col>
                    <xdr:colOff>2390775</xdr:colOff>
                    <xdr:row>28</xdr:row>
                    <xdr:rowOff>257175</xdr:rowOff>
                  </to>
                </anchor>
              </controlPr>
            </control>
          </mc:Choice>
        </mc:AlternateContent>
        <mc:AlternateContent xmlns:mc="http://schemas.openxmlformats.org/markup-compatibility/2006">
          <mc:Choice Requires="x14">
            <control shapeId="12856" r:id="rId7" name="Check Box 568">
              <controlPr locked="0" defaultSize="0" autoFill="0" autoLine="0" autoPict="0">
                <anchor moveWithCells="1">
                  <from>
                    <xdr:col>3</xdr:col>
                    <xdr:colOff>1952625</xdr:colOff>
                    <xdr:row>46</xdr:row>
                    <xdr:rowOff>200025</xdr:rowOff>
                  </from>
                  <to>
                    <xdr:col>3</xdr:col>
                    <xdr:colOff>2209800</xdr:colOff>
                    <xdr:row>47</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H38"/>
  <sheetViews>
    <sheetView showGridLines="0" topLeftCell="A13" zoomScaleNormal="100" zoomScaleSheetLayoutView="100" workbookViewId="0">
      <selection activeCell="K42" sqref="K42"/>
    </sheetView>
  </sheetViews>
  <sheetFormatPr baseColWidth="10" defaultColWidth="10.25" defaultRowHeight="12.75" customHeight="1" x14ac:dyDescent="0.2"/>
  <cols>
    <col min="1" max="1" width="3.625" style="112" customWidth="1"/>
    <col min="2" max="4" width="10.375" style="112" customWidth="1"/>
    <col min="5" max="5" width="12.625" style="112" customWidth="1"/>
    <col min="6" max="10" width="10.375" style="112" customWidth="1"/>
    <col min="11" max="11" width="3.625" style="112" customWidth="1"/>
    <col min="12" max="18" width="10.375" style="112" customWidth="1"/>
    <col min="19" max="16384" width="10.25" style="112"/>
  </cols>
  <sheetData>
    <row r="1" spans="1:34" s="423" customFormat="1" ht="12.75" customHeight="1" x14ac:dyDescent="0.2"/>
    <row r="2" spans="1:34" s="423" customFormat="1" ht="12.75" customHeight="1" x14ac:dyDescent="0.2"/>
    <row r="3" spans="1:34" s="423" customFormat="1" ht="12.75" customHeight="1" x14ac:dyDescent="0.2"/>
    <row r="4" spans="1:34" s="423" customFormat="1" ht="12.75" customHeight="1" x14ac:dyDescent="0.2"/>
    <row r="5" spans="1:34" s="423" customFormat="1" ht="12.75" customHeight="1" x14ac:dyDescent="0.2"/>
    <row r="6" spans="1:34" s="423" customFormat="1" ht="12.75" customHeight="1" x14ac:dyDescent="0.2"/>
    <row r="7" spans="1:34" s="423" customFormat="1" ht="12.75" customHeight="1" x14ac:dyDescent="0.2"/>
    <row r="8" spans="1:34" s="423" customFormat="1" ht="12.75" customHeight="1" x14ac:dyDescent="0.2"/>
    <row r="9" spans="1:34" s="423" customFormat="1" ht="12.75" customHeight="1" x14ac:dyDescent="0.2"/>
    <row r="10" spans="1:34" s="423" customFormat="1" ht="12.75" customHeight="1" x14ac:dyDescent="0.2">
      <c r="B10" s="123" t="s">
        <v>225</v>
      </c>
    </row>
    <row r="11" spans="1:34" s="102" customFormat="1" ht="12.75" customHeight="1" x14ac:dyDescent="0.25">
      <c r="A11" s="424"/>
      <c r="B11" s="123"/>
      <c r="H11" s="425"/>
      <c r="I11" s="426"/>
      <c r="J11" s="123"/>
      <c r="K11" s="123"/>
      <c r="L11" s="123"/>
      <c r="M11" s="427"/>
      <c r="N11" s="123"/>
      <c r="O11" s="123"/>
      <c r="P11" s="123"/>
      <c r="Q11" s="123"/>
      <c r="R11" s="123"/>
      <c r="S11" s="123"/>
      <c r="T11" s="123"/>
      <c r="U11" s="427"/>
      <c r="V11" s="428"/>
      <c r="W11" s="427"/>
      <c r="X11" s="427"/>
      <c r="Y11" s="428"/>
      <c r="Z11" s="427"/>
    </row>
    <row r="12" spans="1:34" s="102" customFormat="1" ht="12.75" customHeight="1" x14ac:dyDescent="0.25">
      <c r="A12" s="424"/>
      <c r="B12" s="123"/>
      <c r="H12" s="425"/>
      <c r="I12" s="426"/>
      <c r="J12" s="123"/>
      <c r="K12" s="123"/>
      <c r="L12" s="123"/>
      <c r="M12" s="427"/>
      <c r="N12" s="123"/>
      <c r="O12" s="123"/>
      <c r="P12" s="123"/>
      <c r="Q12" s="123"/>
      <c r="R12" s="123"/>
      <c r="S12" s="123"/>
      <c r="T12" s="123"/>
      <c r="U12" s="427"/>
      <c r="V12" s="428"/>
      <c r="W12" s="427"/>
      <c r="X12" s="427"/>
      <c r="Y12" s="428"/>
      <c r="Z12" s="427"/>
    </row>
    <row r="13" spans="1:34" s="429" customFormat="1" ht="24.95" customHeight="1" x14ac:dyDescent="0.2">
      <c r="B13" s="564" t="s">
        <v>187</v>
      </c>
      <c r="C13" s="564"/>
      <c r="D13" s="564"/>
      <c r="E13" s="564"/>
      <c r="F13" s="564"/>
      <c r="G13" s="564"/>
      <c r="H13" s="564"/>
      <c r="I13" s="564"/>
      <c r="J13" s="564"/>
      <c r="K13" s="430"/>
      <c r="L13" s="431"/>
      <c r="M13" s="432"/>
      <c r="N13" s="431"/>
      <c r="O13" s="431"/>
      <c r="P13" s="431"/>
      <c r="Q13" s="431"/>
      <c r="R13" s="431"/>
      <c r="S13" s="431"/>
      <c r="T13" s="431"/>
      <c r="U13" s="431"/>
      <c r="V13" s="431"/>
      <c r="W13" s="431"/>
      <c r="X13" s="431"/>
      <c r="Y13" s="431"/>
      <c r="Z13" s="432"/>
      <c r="AA13" s="431"/>
      <c r="AB13" s="431"/>
      <c r="AC13" s="432"/>
      <c r="AD13" s="431"/>
      <c r="AE13" s="433"/>
      <c r="AF13" s="433"/>
      <c r="AG13" s="433"/>
      <c r="AH13" s="433"/>
    </row>
    <row r="15" spans="1:34" s="2" customFormat="1" ht="24.95" customHeight="1" x14ac:dyDescent="0.2">
      <c r="B15" s="565" t="s">
        <v>188</v>
      </c>
      <c r="C15" s="565"/>
      <c r="D15" s="565"/>
      <c r="E15" s="565"/>
      <c r="F15" s="565"/>
      <c r="G15" s="565"/>
      <c r="H15" s="565"/>
      <c r="I15" s="565"/>
      <c r="J15" s="565"/>
    </row>
    <row r="16" spans="1:34" s="2" customFormat="1" ht="12.75" customHeight="1" thickBot="1" x14ac:dyDescent="0.25">
      <c r="B16" s="566"/>
      <c r="C16" s="566"/>
      <c r="D16" s="566"/>
      <c r="E16" s="566"/>
      <c r="F16" s="421"/>
      <c r="H16" s="3" t="s">
        <v>189</v>
      </c>
    </row>
    <row r="17" spans="1:5" ht="24.95" customHeight="1" x14ac:dyDescent="0.2">
      <c r="B17" s="567" t="s">
        <v>190</v>
      </c>
      <c r="C17" s="568"/>
      <c r="D17" s="568"/>
      <c r="E17" s="569"/>
    </row>
    <row r="18" spans="1:5" ht="12.75" customHeight="1" x14ac:dyDescent="0.2">
      <c r="B18" s="434" t="s">
        <v>102</v>
      </c>
      <c r="C18" s="114"/>
      <c r="D18" s="114"/>
      <c r="E18" s="461"/>
    </row>
    <row r="19" spans="1:5" ht="12.75" customHeight="1" x14ac:dyDescent="0.2">
      <c r="B19" s="434" t="s">
        <v>85</v>
      </c>
      <c r="C19" s="114"/>
      <c r="D19" s="114"/>
      <c r="E19" s="462"/>
    </row>
    <row r="20" spans="1:5" ht="12.75" customHeight="1" x14ac:dyDescent="0.2">
      <c r="A20" s="116"/>
      <c r="B20" s="434" t="s">
        <v>86</v>
      </c>
      <c r="C20" s="114"/>
      <c r="D20" s="435"/>
      <c r="E20" s="462"/>
    </row>
    <row r="21" spans="1:5" ht="12.75" customHeight="1" x14ac:dyDescent="0.2">
      <c r="B21" s="434" t="s">
        <v>191</v>
      </c>
      <c r="C21" s="114"/>
      <c r="D21" s="436"/>
      <c r="E21" s="437">
        <f>IF(OR(ISERROR(E20-E19),E20&lt;E19),"./.",IF(TRUNC((((DAYS360(E19,E20))/30)-DATEDIF(E19,E20,"m")),4)&lt;=0.08,(DATEDIF(E19,E20,"m"))/12,(DATEDIF(E19,E20,"m")+1)/12))</f>
        <v>0</v>
      </c>
    </row>
    <row r="22" spans="1:5" ht="12.75" customHeight="1" x14ac:dyDescent="0.2">
      <c r="B22" s="434" t="s">
        <v>94</v>
      </c>
      <c r="C22" s="114"/>
      <c r="D22" s="114"/>
      <c r="E22" s="438" t="str">
        <f>IF(E21=0,"./.",IF(E18,ROUND((0.01048*RLZ_Verbriefung+0.03671)/100,4),0))</f>
        <v>./.</v>
      </c>
    </row>
    <row r="23" spans="1:5" ht="12.75" customHeight="1" thickBot="1" x14ac:dyDescent="0.25">
      <c r="B23" s="439" t="s">
        <v>95</v>
      </c>
      <c r="C23" s="440"/>
      <c r="D23" s="440"/>
      <c r="E23" s="441" t="str">
        <f>IF(E22="./.","./.",IF(E18,E18*E22,0))</f>
        <v>./.</v>
      </c>
    </row>
    <row r="24" spans="1:5" ht="12.75" customHeight="1" thickBot="1" x14ac:dyDescent="0.25">
      <c r="C24" s="442" t="str">
        <f>IF(E21="./.","Bitte geben Sie einen positiven Zeitraum ein.","")</f>
        <v/>
      </c>
      <c r="E24" s="443"/>
    </row>
    <row r="25" spans="1:5" ht="24.95" customHeight="1" x14ac:dyDescent="0.2">
      <c r="B25" s="570" t="s">
        <v>192</v>
      </c>
      <c r="C25" s="571"/>
      <c r="D25" s="571"/>
      <c r="E25" s="572"/>
    </row>
    <row r="26" spans="1:5" ht="12.75" customHeight="1" x14ac:dyDescent="0.2">
      <c r="B26" s="434" t="s">
        <v>102</v>
      </c>
      <c r="C26" s="114"/>
      <c r="D26" s="114"/>
      <c r="E26" s="461">
        <v>5000000</v>
      </c>
    </row>
    <row r="27" spans="1:5" ht="12.75" customHeight="1" x14ac:dyDescent="0.2">
      <c r="B27" s="444" t="s">
        <v>193</v>
      </c>
      <c r="C27" s="114"/>
      <c r="D27" s="436"/>
      <c r="E27" s="463">
        <f>'[2]UFK-Entgelt'!J28</f>
        <v>10.25</v>
      </c>
    </row>
    <row r="28" spans="1:5" ht="12.75" customHeight="1" x14ac:dyDescent="0.2">
      <c r="B28" s="434" t="s">
        <v>94</v>
      </c>
      <c r="C28" s="114"/>
      <c r="D28" s="114"/>
      <c r="E28" s="438">
        <f>IF(E27=0,"./.",IF(E26,ROUND((0.01048*E27+0.03671)/100,6),0))</f>
        <v>1.441E-3</v>
      </c>
    </row>
    <row r="29" spans="1:5" ht="12.75" customHeight="1" thickBot="1" x14ac:dyDescent="0.25">
      <c r="B29" s="439" t="s">
        <v>95</v>
      </c>
      <c r="C29" s="440"/>
      <c r="D29" s="440"/>
      <c r="E29" s="441">
        <f>IF(E28="./.","./.",IF(E26,E26*E28,0))</f>
        <v>7205</v>
      </c>
    </row>
    <row r="31" spans="1:5" ht="12.75" customHeight="1" x14ac:dyDescent="0.2">
      <c r="B31" s="445" t="s">
        <v>1</v>
      </c>
    </row>
    <row r="32" spans="1:5" ht="12.75" customHeight="1" x14ac:dyDescent="0.2">
      <c r="B32" s="97" t="s">
        <v>98</v>
      </c>
    </row>
    <row r="37" spans="5:5" ht="12.75" customHeight="1" x14ac:dyDescent="0.2">
      <c r="E37" s="596"/>
    </row>
    <row r="38" spans="5:5" ht="12.75" customHeight="1" x14ac:dyDescent="0.2">
      <c r="E38" s="596"/>
    </row>
  </sheetData>
  <sheetProtection selectLockedCells="1"/>
  <mergeCells count="6">
    <mergeCell ref="E37:E38"/>
    <mergeCell ref="B13:J13"/>
    <mergeCell ref="B15:J15"/>
    <mergeCell ref="B16:E16"/>
    <mergeCell ref="B17:E17"/>
    <mergeCell ref="B25:E25"/>
  </mergeCells>
  <dataValidations count="1">
    <dataValidation type="date" errorStyle="information" allowBlank="1" showInputMessage="1" showErrorMessage="1" error="Bitte geben Sie ein gültiges Datum ein." sqref="E19:E20">
      <formula1>1</formula1>
      <formula2>73415</formula2>
    </dataValidation>
  </dataValidations>
  <printOptions horizontalCentered="1"/>
  <pageMargins left="0.78740157480314965" right="0.78740157480314965" top="0.98425196850393704" bottom="0.98425196850393704" header="0.51181102362204722" footer="0.51181102362204722"/>
  <pageSetup paperSize="9" scale="77" orientation="portrait" verticalDpi="2" r:id="rId1"/>
  <headerFooter alignWithMargins="0">
    <oddHeader>&amp;F</oddHeader>
    <oddFoote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indexed="26"/>
    <pageSetUpPr fitToPage="1"/>
  </sheetPr>
  <dimension ref="A1:IE12335"/>
  <sheetViews>
    <sheetView topLeftCell="A49" zoomScale="75" zoomScaleNormal="75" workbookViewId="0">
      <selection activeCell="Y48" sqref="Y48"/>
    </sheetView>
  </sheetViews>
  <sheetFormatPr baseColWidth="10" defaultColWidth="10" defaultRowHeight="12.75" x14ac:dyDescent="0.2"/>
  <cols>
    <col min="1" max="1" width="14" style="37" customWidth="1"/>
    <col min="2" max="4" width="14" style="37" hidden="1" customWidth="1"/>
    <col min="5" max="5" width="25.125" style="37" bestFit="1" customWidth="1"/>
    <col min="6" max="6" width="15.5" style="37" bestFit="1" customWidth="1"/>
    <col min="7" max="7" width="8.25" style="37" bestFit="1" customWidth="1"/>
    <col min="8" max="9" width="14" style="37" hidden="1" customWidth="1"/>
    <col min="10" max="10" width="14" style="26" hidden="1" customWidth="1"/>
    <col min="11" max="11" width="99.125" style="27" bestFit="1" customWidth="1"/>
    <col min="12" max="12" width="95.25" style="27" bestFit="1" customWidth="1"/>
    <col min="13" max="13" width="10.25" style="32" bestFit="1" customWidth="1"/>
    <col min="14" max="17" width="8.625" style="27" bestFit="1" customWidth="1"/>
    <col min="18" max="19" width="8.25" style="27" bestFit="1" customWidth="1"/>
    <col min="20" max="20" width="32.125" style="27" bestFit="1" customWidth="1"/>
    <col min="21" max="21" width="28.75" style="27" bestFit="1" customWidth="1"/>
    <col min="22" max="22" width="31.625" style="27" bestFit="1" customWidth="1"/>
    <col min="23" max="23" width="13.25" style="27" bestFit="1" customWidth="1"/>
    <col min="24" max="24" width="9.125" style="27" bestFit="1" customWidth="1"/>
    <col min="25" max="25" width="11.25" style="27" bestFit="1" customWidth="1"/>
    <col min="26" max="26" width="10.625" style="29" bestFit="1" customWidth="1"/>
    <col min="27" max="27" width="6.625" style="27" bestFit="1" customWidth="1"/>
    <col min="28" max="28" width="3.125" style="311" bestFit="1" customWidth="1"/>
    <col min="29" max="29" width="14" style="27" customWidth="1"/>
    <col min="30" max="16384" width="10" style="27"/>
  </cols>
  <sheetData>
    <row r="1" spans="13:28" s="27" customFormat="1" x14ac:dyDescent="0.2">
      <c r="M1" s="32"/>
      <c r="AB1" s="220"/>
    </row>
    <row r="2" spans="13:28" s="27" customFormat="1" x14ac:dyDescent="0.2">
      <c r="M2" s="32"/>
      <c r="AB2" s="220"/>
    </row>
    <row r="3" spans="13:28" s="27" customFormat="1" x14ac:dyDescent="0.2">
      <c r="M3" s="32"/>
      <c r="AB3" s="220"/>
    </row>
    <row r="4" spans="13:28" s="27" customFormat="1" x14ac:dyDescent="0.2">
      <c r="M4" s="32"/>
      <c r="AB4" s="220"/>
    </row>
    <row r="5" spans="13:28" s="27" customFormat="1" x14ac:dyDescent="0.2">
      <c r="M5" s="32"/>
      <c r="AB5" s="220"/>
    </row>
    <row r="6" spans="13:28" s="27" customFormat="1" x14ac:dyDescent="0.2">
      <c r="M6" s="32"/>
      <c r="AB6" s="220"/>
    </row>
    <row r="7" spans="13:28" s="27" customFormat="1" x14ac:dyDescent="0.2">
      <c r="M7" s="32"/>
      <c r="AB7" s="220"/>
    </row>
    <row r="8" spans="13:28" s="27" customFormat="1" x14ac:dyDescent="0.2">
      <c r="M8" s="32"/>
      <c r="AB8" s="220"/>
    </row>
    <row r="9" spans="13:28" s="27" customFormat="1" x14ac:dyDescent="0.2">
      <c r="M9" s="32"/>
      <c r="AB9" s="220"/>
    </row>
    <row r="10" spans="13:28" s="27" customFormat="1" x14ac:dyDescent="0.2">
      <c r="M10" s="32"/>
      <c r="AB10" s="220"/>
    </row>
    <row r="11" spans="13:28" s="27" customFormat="1" x14ac:dyDescent="0.2">
      <c r="M11" s="32"/>
      <c r="AB11" s="220"/>
    </row>
    <row r="12" spans="13:28" s="27" customFormat="1" x14ac:dyDescent="0.2">
      <c r="M12" s="32"/>
      <c r="AB12" s="220"/>
    </row>
    <row r="13" spans="13:28" s="27" customFormat="1" x14ac:dyDescent="0.2">
      <c r="M13" s="32"/>
      <c r="AB13" s="220"/>
    </row>
    <row r="14" spans="13:28" s="27" customFormat="1" x14ac:dyDescent="0.2">
      <c r="M14" s="32"/>
      <c r="AB14" s="220"/>
    </row>
    <row r="15" spans="13:28" s="27" customFormat="1" x14ac:dyDescent="0.2">
      <c r="M15" s="32"/>
      <c r="AB15" s="220"/>
    </row>
    <row r="16" spans="13:28" s="27" customFormat="1" x14ac:dyDescent="0.2">
      <c r="M16" s="32"/>
      <c r="AB16" s="220"/>
    </row>
    <row r="17" spans="1:28" x14ac:dyDescent="0.2">
      <c r="A17" s="27"/>
      <c r="B17" s="27"/>
      <c r="C17" s="27"/>
      <c r="D17" s="27"/>
      <c r="E17" s="27"/>
      <c r="F17" s="27"/>
      <c r="G17" s="27"/>
      <c r="H17" s="27"/>
      <c r="I17" s="27"/>
      <c r="J17" s="27"/>
      <c r="Z17" s="27"/>
      <c r="AB17" s="220"/>
    </row>
    <row r="18" spans="1:28" x14ac:dyDescent="0.2">
      <c r="A18" s="27"/>
      <c r="B18" s="27"/>
      <c r="C18" s="27"/>
      <c r="D18" s="27"/>
      <c r="E18" s="27"/>
      <c r="F18" s="27"/>
      <c r="G18" s="27"/>
      <c r="H18" s="27"/>
      <c r="I18" s="27"/>
      <c r="J18" s="27"/>
      <c r="Z18" s="27"/>
      <c r="AB18" s="220"/>
    </row>
    <row r="19" spans="1:28" s="32" customFormat="1" ht="13.5" thickBot="1" x14ac:dyDescent="0.25">
      <c r="B19" s="46"/>
      <c r="C19" s="46"/>
      <c r="D19" s="46"/>
      <c r="E19" s="46"/>
      <c r="F19" s="46"/>
      <c r="G19" s="46"/>
      <c r="H19" s="46"/>
      <c r="I19" s="46"/>
      <c r="J19" s="46"/>
      <c r="K19" s="46" t="s">
        <v>40</v>
      </c>
      <c r="L19" s="47"/>
      <c r="M19" s="47"/>
      <c r="N19" s="47"/>
      <c r="O19" s="47"/>
      <c r="P19" s="47"/>
      <c r="Q19" s="46"/>
      <c r="R19" s="46"/>
      <c r="S19" s="46"/>
      <c r="T19" s="46"/>
      <c r="U19" s="46"/>
      <c r="V19" s="46"/>
      <c r="W19" s="46"/>
      <c r="X19" s="46"/>
      <c r="Y19" s="46"/>
      <c r="Z19" s="46"/>
      <c r="AA19" s="46"/>
      <c r="AB19" s="222"/>
    </row>
    <row r="20" spans="1:28" x14ac:dyDescent="0.2">
      <c r="L20" s="72"/>
      <c r="M20" s="66"/>
      <c r="N20" s="66"/>
      <c r="O20" s="66"/>
      <c r="P20" s="66"/>
      <c r="Z20" s="27"/>
      <c r="AA20" s="29"/>
      <c r="AB20" s="220"/>
    </row>
    <row r="21" spans="1:28" x14ac:dyDescent="0.2">
      <c r="L21" s="32"/>
      <c r="M21" s="223"/>
      <c r="N21" s="223"/>
      <c r="O21" s="223"/>
      <c r="P21" s="223"/>
      <c r="Q21" s="223"/>
      <c r="R21" s="223"/>
      <c r="S21" s="223"/>
      <c r="T21" s="223"/>
      <c r="Z21" s="27"/>
      <c r="AA21" s="29"/>
      <c r="AB21" s="220"/>
    </row>
    <row r="22" spans="1:28" x14ac:dyDescent="0.2">
      <c r="K22" s="35" t="s">
        <v>152</v>
      </c>
      <c r="L22" s="346" t="s">
        <v>153</v>
      </c>
      <c r="M22" s="223"/>
      <c r="N22" s="223"/>
      <c r="O22" s="223"/>
      <c r="P22" s="223"/>
      <c r="Q22" s="223"/>
      <c r="R22" s="223"/>
      <c r="S22" s="223"/>
      <c r="T22" s="223"/>
      <c r="Z22" s="27"/>
      <c r="AA22" s="29"/>
      <c r="AB22" s="220"/>
    </row>
    <row r="23" spans="1:28" x14ac:dyDescent="0.2">
      <c r="B23" s="40"/>
      <c r="C23" s="40"/>
      <c r="D23" s="40"/>
      <c r="E23" s="40"/>
      <c r="F23" s="40"/>
      <c r="G23" s="40"/>
      <c r="H23" s="40"/>
      <c r="I23" s="40"/>
      <c r="J23" s="84"/>
      <c r="K23" s="224" t="s">
        <v>41</v>
      </c>
      <c r="L23" s="225" t="s">
        <v>42</v>
      </c>
      <c r="N23" s="225"/>
      <c r="O23" s="225"/>
      <c r="P23" s="225"/>
      <c r="Q23" s="225"/>
      <c r="R23" s="225"/>
      <c r="S23" s="225"/>
      <c r="T23" s="32"/>
      <c r="U23" s="225"/>
      <c r="V23" s="225"/>
      <c r="W23" s="225"/>
      <c r="X23" s="225"/>
      <c r="Y23" s="225"/>
      <c r="Z23" s="225"/>
      <c r="AA23" s="29"/>
      <c r="AB23" s="220"/>
    </row>
    <row r="24" spans="1:28" ht="13.5" thickBot="1" x14ac:dyDescent="0.25">
      <c r="B24" s="40"/>
      <c r="C24" s="40"/>
      <c r="D24" s="40"/>
      <c r="E24" s="40"/>
      <c r="F24" s="40"/>
      <c r="G24" s="40"/>
      <c r="H24" s="40"/>
      <c r="I24" s="40"/>
      <c r="J24" s="84"/>
      <c r="L24" s="32"/>
      <c r="M24" s="223"/>
      <c r="N24" s="223"/>
      <c r="O24" s="223"/>
      <c r="P24" s="223"/>
      <c r="Q24" s="223"/>
      <c r="R24" s="223"/>
      <c r="S24" s="223"/>
      <c r="T24" s="32"/>
      <c r="U24" s="225"/>
      <c r="V24" s="225"/>
      <c r="W24" s="225"/>
      <c r="X24" s="225"/>
      <c r="Y24" s="225"/>
      <c r="Z24" s="225"/>
      <c r="AA24" s="29"/>
      <c r="AB24" s="220"/>
    </row>
    <row r="25" spans="1:28" ht="38.25" customHeight="1" x14ac:dyDescent="0.2">
      <c r="C25" s="591" t="s">
        <v>36</v>
      </c>
      <c r="D25" s="591"/>
      <c r="E25" s="591"/>
      <c r="F25" s="38" t="s">
        <v>37</v>
      </c>
      <c r="K25" s="587" t="s">
        <v>43</v>
      </c>
      <c r="L25" s="588"/>
      <c r="M25" s="227">
        <v>3.5000000000000001E-3</v>
      </c>
      <c r="N25" s="48">
        <v>6.4999999999999997E-3</v>
      </c>
      <c r="O25" s="48">
        <v>1.4999999999999999E-2</v>
      </c>
      <c r="P25" s="48">
        <v>1.7500000000000002E-2</v>
      </c>
      <c r="Q25" s="48">
        <v>1.7500000000000002E-2</v>
      </c>
      <c r="R25" s="48">
        <v>0.02</v>
      </c>
      <c r="S25" s="49">
        <v>0.02</v>
      </c>
      <c r="T25" s="32"/>
      <c r="U25" s="225"/>
      <c r="V25" s="225"/>
      <c r="W25" s="225"/>
      <c r="X25" s="225"/>
      <c r="Y25" s="225"/>
      <c r="Z25" s="225"/>
      <c r="AA25" s="29"/>
      <c r="AB25" s="220"/>
    </row>
    <row r="26" spans="1:28" ht="39.75" customHeight="1" x14ac:dyDescent="0.2">
      <c r="C26" s="578" t="s">
        <v>38</v>
      </c>
      <c r="D26" s="579"/>
      <c r="E26" s="580"/>
      <c r="F26" s="39">
        <v>0.9</v>
      </c>
      <c r="K26" s="589" t="s">
        <v>72</v>
      </c>
      <c r="L26" s="590"/>
      <c r="M26" s="228">
        <f t="shared" ref="M26:S26" si="0">IF($F$25="below standard",1-M25,IF($F$25="above standard",1+M25,1))</f>
        <v>0.99650000000000005</v>
      </c>
      <c r="N26" s="50">
        <f t="shared" si="0"/>
        <v>0.99350000000000005</v>
      </c>
      <c r="O26" s="50">
        <f t="shared" si="0"/>
        <v>0.98499999999999999</v>
      </c>
      <c r="P26" s="50">
        <f t="shared" si="0"/>
        <v>0.98250000000000004</v>
      </c>
      <c r="Q26" s="50">
        <f t="shared" si="0"/>
        <v>0.98250000000000004</v>
      </c>
      <c r="R26" s="50">
        <f t="shared" si="0"/>
        <v>0.98</v>
      </c>
      <c r="S26" s="51">
        <f t="shared" si="0"/>
        <v>0.98</v>
      </c>
      <c r="T26" s="32"/>
      <c r="U26" s="225"/>
      <c r="V26" s="225"/>
      <c r="W26" s="225"/>
      <c r="X26" s="225"/>
      <c r="Y26" s="225"/>
      <c r="Z26" s="225"/>
      <c r="AA26" s="29"/>
      <c r="AB26" s="220"/>
    </row>
    <row r="27" spans="1:28" ht="40.5" customHeight="1" x14ac:dyDescent="0.2">
      <c r="C27" s="578" t="s">
        <v>39</v>
      </c>
      <c r="D27" s="579"/>
      <c r="E27" s="580"/>
      <c r="F27" s="39">
        <v>0.9</v>
      </c>
      <c r="K27" s="592" t="s">
        <v>44</v>
      </c>
      <c r="L27" s="593"/>
      <c r="M27" s="229">
        <v>0</v>
      </c>
      <c r="N27" s="52">
        <v>3.3700000000000002E-3</v>
      </c>
      <c r="O27" s="52">
        <v>4.8900000000000002E-3</v>
      </c>
      <c r="P27" s="52">
        <v>1.6389999999999998E-2</v>
      </c>
      <c r="Q27" s="52">
        <v>3.6569999999999998E-2</v>
      </c>
      <c r="R27" s="52">
        <v>5.8779999999999999E-2</v>
      </c>
      <c r="S27" s="53">
        <v>8.5980000000000001E-2</v>
      </c>
      <c r="T27" s="32"/>
      <c r="U27" s="225"/>
      <c r="V27" s="225"/>
      <c r="W27" s="225"/>
      <c r="X27" s="225"/>
      <c r="Y27" s="225"/>
      <c r="Z27" s="225"/>
      <c r="AA27" s="29"/>
      <c r="AB27" s="220"/>
    </row>
    <row r="28" spans="1:28" ht="45.75" customHeight="1" thickBot="1" x14ac:dyDescent="0.25">
      <c r="C28" s="578" t="s">
        <v>183</v>
      </c>
      <c r="D28" s="579"/>
      <c r="E28" s="580"/>
      <c r="F28" s="38">
        <v>0.9</v>
      </c>
      <c r="K28" s="594" t="s">
        <v>73</v>
      </c>
      <c r="L28" s="595"/>
      <c r="M28" s="230">
        <f>IF(MAX($F$26,$F$27)&lt;=0.95,1,1+((MAX($F$26,$F$27)-0.95)/0.05)*M27)</f>
        <v>1</v>
      </c>
      <c r="N28" s="54">
        <f t="shared" ref="N28:S28" si="1">IF($F$26&lt;=0.95,1,1+(($F$26-0.95)/0.05)*N27)</f>
        <v>1</v>
      </c>
      <c r="O28" s="54">
        <f t="shared" si="1"/>
        <v>1</v>
      </c>
      <c r="P28" s="54">
        <f t="shared" si="1"/>
        <v>1</v>
      </c>
      <c r="Q28" s="54">
        <f t="shared" si="1"/>
        <v>1</v>
      </c>
      <c r="R28" s="54">
        <f t="shared" si="1"/>
        <v>1</v>
      </c>
      <c r="S28" s="55">
        <f t="shared" si="1"/>
        <v>1</v>
      </c>
      <c r="T28" s="32"/>
      <c r="U28" s="225"/>
      <c r="V28" s="225"/>
      <c r="W28" s="225"/>
      <c r="X28" s="225"/>
      <c r="Y28" s="225"/>
      <c r="Z28" s="225"/>
      <c r="AA28" s="29"/>
      <c r="AB28" s="220"/>
    </row>
    <row r="29" spans="1:28" ht="13.9" customHeight="1" thickBot="1" x14ac:dyDescent="0.25">
      <c r="B29" s="40"/>
      <c r="C29" s="578" t="s">
        <v>184</v>
      </c>
      <c r="D29" s="579"/>
      <c r="E29" s="580"/>
      <c r="F29" s="38">
        <v>1.1000000000000001</v>
      </c>
      <c r="G29" s="40"/>
      <c r="H29" s="40"/>
      <c r="I29" s="40"/>
      <c r="J29" s="84"/>
      <c r="L29" s="32"/>
      <c r="M29" s="223"/>
      <c r="N29" s="223"/>
      <c r="O29" s="223"/>
      <c r="P29" s="223"/>
      <c r="Q29" s="223"/>
      <c r="R29" s="223"/>
      <c r="S29" s="223"/>
      <c r="T29" s="32"/>
      <c r="U29" s="225"/>
      <c r="V29" s="225"/>
      <c r="W29" s="225"/>
      <c r="X29" s="225"/>
      <c r="Y29" s="225"/>
      <c r="Z29" s="225"/>
      <c r="AA29" s="29"/>
      <c r="AB29" s="220"/>
    </row>
    <row r="30" spans="1:28" ht="14.25" thickTop="1" thickBot="1" x14ac:dyDescent="0.25">
      <c r="A30" s="27"/>
      <c r="B30" s="27"/>
      <c r="C30" s="27"/>
      <c r="D30" s="27"/>
      <c r="E30" s="27"/>
      <c r="F30" s="27"/>
      <c r="G30" s="27"/>
      <c r="H30" s="27"/>
      <c r="I30" s="27"/>
      <c r="L30" s="32"/>
      <c r="M30" s="64"/>
      <c r="N30" s="64"/>
      <c r="O30" s="64"/>
      <c r="P30" s="64"/>
      <c r="Q30" s="64"/>
      <c r="R30" s="64"/>
      <c r="S30" s="64"/>
      <c r="T30" s="231" t="s">
        <v>144</v>
      </c>
      <c r="U30" s="232"/>
      <c r="V30" s="232"/>
      <c r="W30" s="232"/>
      <c r="X30" s="232"/>
      <c r="Y30" s="233" t="s">
        <v>123</v>
      </c>
      <c r="Z30" s="234">
        <f>PCCommercial</f>
        <v>0.9</v>
      </c>
      <c r="AA30" s="226"/>
      <c r="AB30" s="220"/>
    </row>
    <row r="31" spans="1:28" ht="13.5" thickTop="1" x14ac:dyDescent="0.2">
      <c r="A31" s="27"/>
      <c r="B31" s="27"/>
      <c r="C31" s="27"/>
      <c r="D31" s="27"/>
      <c r="E31" s="27"/>
      <c r="F31" s="27"/>
      <c r="G31" s="27"/>
      <c r="H31" s="27"/>
      <c r="I31" s="27"/>
      <c r="K31" s="235">
        <f>PCCommercial</f>
        <v>0.9</v>
      </c>
      <c r="L31" s="57" t="s">
        <v>13</v>
      </c>
      <c r="M31" s="58">
        <v>1</v>
      </c>
      <c r="N31" s="58">
        <v>2</v>
      </c>
      <c r="O31" s="58">
        <v>3</v>
      </c>
      <c r="P31" s="58">
        <v>4</v>
      </c>
      <c r="Q31" s="58">
        <v>5</v>
      </c>
      <c r="R31" s="58">
        <v>6</v>
      </c>
      <c r="S31" s="58">
        <v>7</v>
      </c>
      <c r="T31" s="236"/>
      <c r="U31" s="237">
        <v>1</v>
      </c>
      <c r="V31" s="238">
        <v>2</v>
      </c>
      <c r="W31" s="238">
        <v>3</v>
      </c>
      <c r="X31" s="238">
        <v>4</v>
      </c>
      <c r="Y31" s="238">
        <v>5</v>
      </c>
      <c r="Z31" s="238">
        <v>6</v>
      </c>
      <c r="AA31" s="239">
        <v>7</v>
      </c>
      <c r="AB31" s="220"/>
    </row>
    <row r="32" spans="1:28" ht="13.15" customHeight="1" x14ac:dyDescent="0.2">
      <c r="A32" s="27"/>
      <c r="B32" s="27"/>
      <c r="C32" s="27"/>
      <c r="D32" s="27"/>
      <c r="E32" s="59" t="s">
        <v>45</v>
      </c>
      <c r="F32" s="60">
        <f>'UFK-Garantie'!E42</f>
        <v>3</v>
      </c>
      <c r="G32" s="27"/>
      <c r="H32" s="27"/>
      <c r="I32" s="27"/>
      <c r="K32" s="61"/>
      <c r="L32" s="56" t="s">
        <v>46</v>
      </c>
      <c r="M32" s="62">
        <v>0.09</v>
      </c>
      <c r="N32" s="62">
        <v>0.2</v>
      </c>
      <c r="O32" s="62">
        <v>0.35</v>
      </c>
      <c r="P32" s="62">
        <v>0.55000000000000004</v>
      </c>
      <c r="Q32" s="62">
        <v>0.74</v>
      </c>
      <c r="R32" s="62">
        <v>0.9</v>
      </c>
      <c r="S32" s="62">
        <v>1.1000000000000001</v>
      </c>
      <c r="T32" s="240" t="s">
        <v>7</v>
      </c>
      <c r="U32" s="241">
        <f t="shared" ref="U32:AA32" si="2">ROUND(U33*$F$28,4)</f>
        <v>0.29749999999999999</v>
      </c>
      <c r="V32" s="242">
        <f>ROUND(V33*$F$28,4)</f>
        <v>0.29659999999999997</v>
      </c>
      <c r="W32" s="242">
        <f t="shared" si="2"/>
        <v>0.29399999999999998</v>
      </c>
      <c r="X32" s="242">
        <f t="shared" si="2"/>
        <v>0.29320000000000002</v>
      </c>
      <c r="Y32" s="242">
        <f t="shared" si="2"/>
        <v>0.62829999999999997</v>
      </c>
      <c r="Z32" s="242">
        <f t="shared" si="2"/>
        <v>1.0027999999999999</v>
      </c>
      <c r="AA32" s="243">
        <f t="shared" si="2"/>
        <v>1.5041</v>
      </c>
      <c r="AB32" s="220"/>
    </row>
    <row r="33" spans="1:239" x14ac:dyDescent="0.2">
      <c r="A33" s="27"/>
      <c r="B33" s="27"/>
      <c r="C33" s="27"/>
      <c r="D33" s="27"/>
      <c r="E33" s="27"/>
      <c r="F33" s="27"/>
      <c r="G33" s="27"/>
      <c r="H33" s="27"/>
      <c r="I33" s="27"/>
      <c r="K33" s="65"/>
      <c r="L33" s="56" t="s">
        <v>47</v>
      </c>
      <c r="M33" s="62">
        <v>0.35</v>
      </c>
      <c r="N33" s="62">
        <v>0.35</v>
      </c>
      <c r="O33" s="62">
        <v>0.35</v>
      </c>
      <c r="P33" s="62">
        <v>0.35</v>
      </c>
      <c r="Q33" s="62">
        <v>0.75</v>
      </c>
      <c r="R33" s="62">
        <v>1.2</v>
      </c>
      <c r="S33" s="62">
        <v>1.8</v>
      </c>
      <c r="T33" s="244" t="s">
        <v>15</v>
      </c>
      <c r="U33" s="241">
        <f t="shared" ref="U33:AA33" si="3">ROUNDUP(M33*(MAX(PCCommercial,PCPolitical)/0.95)*M26*M28,4)</f>
        <v>0.33050000000000002</v>
      </c>
      <c r="V33" s="242">
        <f t="shared" si="3"/>
        <v>0.32950000000000002</v>
      </c>
      <c r="W33" s="242">
        <f t="shared" si="3"/>
        <v>0.32669999999999999</v>
      </c>
      <c r="X33" s="242">
        <f t="shared" si="3"/>
        <v>0.32579999999999998</v>
      </c>
      <c r="Y33" s="242">
        <f t="shared" si="3"/>
        <v>0.69809999999999994</v>
      </c>
      <c r="Z33" s="242">
        <f t="shared" si="3"/>
        <v>1.1142000000000001</v>
      </c>
      <c r="AA33" s="243">
        <f t="shared" si="3"/>
        <v>1.6712</v>
      </c>
      <c r="AB33" s="220"/>
    </row>
    <row r="34" spans="1:239" x14ac:dyDescent="0.2">
      <c r="A34" s="27"/>
      <c r="B34" s="27"/>
      <c r="C34" s="27"/>
      <c r="D34" s="35"/>
      <c r="E34" s="59" t="s">
        <v>48</v>
      </c>
      <c r="F34" s="60" t="str">
        <f>'UFK-Garantie'!E43</f>
        <v>PC3</v>
      </c>
      <c r="G34" s="27"/>
      <c r="H34" s="27"/>
      <c r="I34" s="27"/>
      <c r="K34" s="65"/>
      <c r="L34" s="44"/>
      <c r="M34" s="67"/>
      <c r="N34" s="44"/>
      <c r="O34" s="44"/>
      <c r="P34" s="44"/>
      <c r="Q34" s="44"/>
      <c r="R34" s="44"/>
      <c r="S34" s="44"/>
      <c r="T34" s="245" t="s">
        <v>17</v>
      </c>
      <c r="U34" s="246">
        <f>ROUNDUP(U33*$F$29,4)</f>
        <v>0.36359999999999998</v>
      </c>
      <c r="V34" s="247">
        <f t="shared" ref="V34:AA34" si="4">ROUNDUP(V33*$F$29,4)</f>
        <v>0.36249999999999999</v>
      </c>
      <c r="W34" s="247">
        <f t="shared" si="4"/>
        <v>0.3594</v>
      </c>
      <c r="X34" s="247">
        <f t="shared" si="4"/>
        <v>0.3584</v>
      </c>
      <c r="Y34" s="247">
        <f t="shared" si="4"/>
        <v>0.76800000000000002</v>
      </c>
      <c r="Z34" s="247">
        <f t="shared" si="4"/>
        <v>1.2257</v>
      </c>
      <c r="AA34" s="248">
        <f t="shared" si="4"/>
        <v>1.8384</v>
      </c>
      <c r="AB34" s="220"/>
    </row>
    <row r="35" spans="1:239" x14ac:dyDescent="0.2">
      <c r="A35" s="27"/>
      <c r="B35" s="27"/>
      <c r="C35" s="27"/>
      <c r="D35" s="27"/>
      <c r="E35" s="59" t="s">
        <v>49</v>
      </c>
      <c r="F35" s="60">
        <f>'UFK-Garantie'!H43</f>
        <v>0</v>
      </c>
      <c r="G35" s="27"/>
      <c r="H35" s="27"/>
      <c r="I35" s="27"/>
      <c r="K35" s="61" t="s">
        <v>50</v>
      </c>
      <c r="L35" s="44"/>
      <c r="M35" s="45"/>
      <c r="N35" s="44"/>
      <c r="O35" s="44"/>
      <c r="P35" s="44"/>
      <c r="Q35" s="44"/>
      <c r="R35" s="44"/>
      <c r="S35" s="44"/>
      <c r="T35" s="63"/>
      <c r="Z35" s="27"/>
      <c r="AA35" s="68"/>
      <c r="AB35" s="220"/>
    </row>
    <row r="36" spans="1:239" x14ac:dyDescent="0.2">
      <c r="A36" s="32"/>
      <c r="B36" s="27"/>
      <c r="C36" s="27"/>
      <c r="D36" s="27"/>
      <c r="E36" s="27"/>
      <c r="F36" s="27"/>
      <c r="G36" s="27"/>
      <c r="H36" s="27"/>
      <c r="I36" s="27"/>
      <c r="K36" s="69" t="s">
        <v>51</v>
      </c>
      <c r="L36" s="70" t="s">
        <v>7</v>
      </c>
      <c r="M36" s="71">
        <v>0</v>
      </c>
      <c r="N36" s="71">
        <v>0</v>
      </c>
      <c r="O36" s="71">
        <v>0</v>
      </c>
      <c r="P36" s="71">
        <v>0</v>
      </c>
      <c r="Q36" s="71">
        <v>0</v>
      </c>
      <c r="R36" s="71">
        <v>0</v>
      </c>
      <c r="S36" s="71">
        <v>0</v>
      </c>
      <c r="T36" s="249" t="s">
        <v>7</v>
      </c>
      <c r="U36" s="91">
        <f t="shared" ref="U36:AA36" si="5">ROUNDUP((M$32*(MAX(PCCommercial,PCPolitical)/0.95)+M36*PCCommercial/0.95)*M$26*M$28*$F$28,4)</f>
        <v>7.6499999999999999E-2</v>
      </c>
      <c r="V36" s="91">
        <f t="shared" si="5"/>
        <v>0.16949999999999998</v>
      </c>
      <c r="W36" s="91">
        <f t="shared" si="5"/>
        <v>0.29399999999999998</v>
      </c>
      <c r="X36" s="91">
        <f t="shared" si="5"/>
        <v>0.46079999999999999</v>
      </c>
      <c r="Y36" s="91">
        <f t="shared" si="5"/>
        <v>0.62</v>
      </c>
      <c r="Z36" s="91">
        <f t="shared" si="5"/>
        <v>0.75209999999999999</v>
      </c>
      <c r="AA36" s="250">
        <f t="shared" si="5"/>
        <v>0.91920000000000002</v>
      </c>
      <c r="AB36" s="220"/>
    </row>
    <row r="37" spans="1:239" x14ac:dyDescent="0.2">
      <c r="A37" s="27"/>
      <c r="B37" s="27"/>
      <c r="C37" s="27"/>
      <c r="D37" s="40"/>
      <c r="E37" s="59" t="s">
        <v>53</v>
      </c>
      <c r="F37" s="73">
        <f>HOR*12</f>
        <v>126</v>
      </c>
      <c r="G37" s="40" t="s">
        <v>54</v>
      </c>
      <c r="H37" s="27"/>
      <c r="I37" s="27"/>
      <c r="K37" s="74" t="s">
        <v>10</v>
      </c>
      <c r="L37" s="45" t="s">
        <v>8</v>
      </c>
      <c r="M37" s="75">
        <v>0</v>
      </c>
      <c r="N37" s="75">
        <v>0</v>
      </c>
      <c r="O37" s="75">
        <v>0</v>
      </c>
      <c r="P37" s="75">
        <v>0</v>
      </c>
      <c r="Q37" s="75">
        <v>0</v>
      </c>
      <c r="R37" s="75">
        <v>0</v>
      </c>
      <c r="S37" s="75">
        <v>0</v>
      </c>
      <c r="T37" s="312" t="s">
        <v>124</v>
      </c>
      <c r="U37" s="313">
        <f>ROUNDUP((M$32*(MAX(PCCommercial,PCPolitical)/0.95)+M37*PCCommercial/0.95)*M$26*M$28,4)</f>
        <v>8.5000000000000006E-2</v>
      </c>
      <c r="V37" s="313">
        <f t="shared" ref="V37:AA37" si="6">ROUNDUP((N$32*(MAX(PCCommercial,PCPolitical)/0.95)+N37*PCCommercial/0.95)*N$26*N$28,4)</f>
        <v>0.1883</v>
      </c>
      <c r="W37" s="313">
        <f t="shared" si="6"/>
        <v>0.32669999999999999</v>
      </c>
      <c r="X37" s="313">
        <f t="shared" si="6"/>
        <v>0.51200000000000001</v>
      </c>
      <c r="Y37" s="313">
        <f t="shared" si="6"/>
        <v>0.68879999999999997</v>
      </c>
      <c r="Z37" s="313">
        <f t="shared" si="6"/>
        <v>0.83560000000000001</v>
      </c>
      <c r="AA37" s="314">
        <f t="shared" si="6"/>
        <v>1.0213000000000001</v>
      </c>
      <c r="AB37" s="220"/>
    </row>
    <row r="38" spans="1:239" x14ac:dyDescent="0.2">
      <c r="A38" s="27"/>
      <c r="B38" s="32"/>
      <c r="C38" s="27"/>
      <c r="D38" s="40"/>
      <c r="E38" s="59" t="s">
        <v>53</v>
      </c>
      <c r="F38" s="76">
        <f>'UFK-Garantie'!E44</f>
        <v>10.5</v>
      </c>
      <c r="G38" s="40" t="s">
        <v>56</v>
      </c>
      <c r="H38" s="27"/>
      <c r="I38" s="27"/>
      <c r="K38" s="74"/>
      <c r="L38" s="45" t="s">
        <v>17</v>
      </c>
      <c r="M38" s="75">
        <f t="shared" ref="M38:R38" si="7">M37</f>
        <v>0</v>
      </c>
      <c r="N38" s="75">
        <f t="shared" si="7"/>
        <v>0</v>
      </c>
      <c r="O38" s="75">
        <f t="shared" si="7"/>
        <v>0</v>
      </c>
      <c r="P38" s="75">
        <f t="shared" si="7"/>
        <v>0</v>
      </c>
      <c r="Q38" s="75">
        <f t="shared" si="7"/>
        <v>0</v>
      </c>
      <c r="R38" s="75">
        <f t="shared" si="7"/>
        <v>0</v>
      </c>
      <c r="S38" s="75">
        <v>0</v>
      </c>
      <c r="T38" s="312" t="s">
        <v>17</v>
      </c>
      <c r="U38" s="313">
        <f>ROUNDUP((M$32*(MAX(PCCommercial,PCPolitical)/0.95)+M38*PCCommercial/0.95)*M$26*M$28*$F$29,4)</f>
        <v>9.35E-2</v>
      </c>
      <c r="V38" s="313">
        <f>ROUNDUP((N$32*(MAX(PCCommercial,PCPolitical)/0.95)+N38*PCCommercial/0.95)*N$26*N$28*$F$29,4)</f>
        <v>0.20709999999999998</v>
      </c>
      <c r="W38" s="313">
        <f>ROUNDUP((O$32*(MAX(PCCommercial,PCPolitical)/0.95)+O38*PCCommercial/0.95)*O$26*O$28*$F$29,4)</f>
        <v>0.35930000000000001</v>
      </c>
      <c r="X38" s="313">
        <f>ROUND((P$32*(MAX(PCCommercial,PCPolitical)/0.95)+P38*PCCommercial/0.95)*P$26*P$28*$F$29,4)</f>
        <v>0.56310000000000004</v>
      </c>
      <c r="Y38" s="313">
        <f>ROUNDUP((Q$32*(MAX(PCCommercial,PCPolitical)/0.95)+Q38*PCCommercial/0.95)*Q$26*Q$28*$F$29,4)</f>
        <v>0.75770000000000004</v>
      </c>
      <c r="Z38" s="313">
        <f>ROUNDUP((R$32*(MAX(PCCommercial,PCPolitical)/0.95)+R38*PCCommercial/0.95)*R$26*R$28*$F$29,4)</f>
        <v>0.91920000000000002</v>
      </c>
      <c r="AA38" s="314">
        <f>ROUNDUP((S$32*(MAX(PCCommercial,PCPolitical)/0.95)+S38*PCCommercial/0.95)*S$26*S$28*$F$29,4)</f>
        <v>1.1234</v>
      </c>
      <c r="AB38" s="220"/>
    </row>
    <row r="39" spans="1:239" x14ac:dyDescent="0.2">
      <c r="A39" s="27"/>
      <c r="B39" s="27"/>
      <c r="C39" s="27"/>
      <c r="D39" s="40"/>
      <c r="E39" s="59"/>
      <c r="F39" s="64"/>
      <c r="G39" s="40"/>
      <c r="H39" s="27"/>
      <c r="I39" s="27"/>
      <c r="K39" s="65"/>
      <c r="L39" s="45" t="s">
        <v>203</v>
      </c>
      <c r="M39" s="75">
        <v>0.11</v>
      </c>
      <c r="N39" s="75">
        <v>0.12</v>
      </c>
      <c r="O39" s="75">
        <v>0.11</v>
      </c>
      <c r="P39" s="75">
        <v>0.1</v>
      </c>
      <c r="Q39" s="75">
        <v>0.1</v>
      </c>
      <c r="R39" s="75">
        <v>0.1</v>
      </c>
      <c r="S39" s="75">
        <v>0.125</v>
      </c>
      <c r="T39" s="312" t="s">
        <v>18</v>
      </c>
      <c r="U39" s="313">
        <f>ROUNDUP((M$32*(MAX(PCCommercial,PCPolitical)/0.95)+M39*PCCommercial/0.95)*M$26*M$28,4)</f>
        <v>0.18889999999999998</v>
      </c>
      <c r="V39" s="313">
        <f t="shared" ref="U39:AA40" si="8">ROUNDUP((N$32*(MAX(PCCommercial,PCPolitical)/0.95)+N39*PCCommercial/0.95)*N$26*N$28,4)</f>
        <v>0.30119999999999997</v>
      </c>
      <c r="W39" s="313">
        <f t="shared" si="8"/>
        <v>0.42930000000000001</v>
      </c>
      <c r="X39" s="313">
        <f t="shared" si="8"/>
        <v>0.60509999999999997</v>
      </c>
      <c r="Y39" s="313">
        <f t="shared" si="8"/>
        <v>0.78190000000000004</v>
      </c>
      <c r="Z39" s="313">
        <f t="shared" si="8"/>
        <v>0.92849999999999999</v>
      </c>
      <c r="AA39" s="314">
        <f t="shared" si="8"/>
        <v>1.1374</v>
      </c>
      <c r="AB39" s="220"/>
    </row>
    <row r="40" spans="1:239" x14ac:dyDescent="0.2">
      <c r="A40" s="27"/>
      <c r="B40" s="27"/>
      <c r="C40" s="27"/>
      <c r="D40" s="27"/>
      <c r="E40" s="27"/>
      <c r="F40" s="27"/>
      <c r="G40" s="27"/>
      <c r="H40" s="27"/>
      <c r="I40" s="27"/>
      <c r="K40" s="65"/>
      <c r="L40" s="45" t="s">
        <v>204</v>
      </c>
      <c r="M40" s="75">
        <v>0.2</v>
      </c>
      <c r="N40" s="75">
        <v>0.21199999999999999</v>
      </c>
      <c r="O40" s="75">
        <v>0.223</v>
      </c>
      <c r="P40" s="75">
        <v>0.23400000000000001</v>
      </c>
      <c r="Q40" s="75">
        <v>0.246</v>
      </c>
      <c r="R40" s="75">
        <v>0.25800000000000001</v>
      </c>
      <c r="S40" s="75">
        <v>0.27100000000000002</v>
      </c>
      <c r="T40" s="312" t="s">
        <v>19</v>
      </c>
      <c r="U40" s="313">
        <f t="shared" si="8"/>
        <v>0.27379999999999999</v>
      </c>
      <c r="V40" s="313">
        <f t="shared" si="8"/>
        <v>0.38779999999999998</v>
      </c>
      <c r="W40" s="313">
        <f t="shared" si="8"/>
        <v>0.53469999999999995</v>
      </c>
      <c r="X40" s="313">
        <f t="shared" si="8"/>
        <v>0.7298</v>
      </c>
      <c r="Y40" s="313">
        <f t="shared" si="8"/>
        <v>0.91779999999999995</v>
      </c>
      <c r="Z40" s="313">
        <f t="shared" si="8"/>
        <v>1.0751999999999999</v>
      </c>
      <c r="AA40" s="314">
        <f t="shared" si="8"/>
        <v>1.2728999999999999</v>
      </c>
      <c r="AB40" s="220"/>
    </row>
    <row r="41" spans="1:239" x14ac:dyDescent="0.2">
      <c r="A41" s="27"/>
      <c r="B41" s="27"/>
      <c r="C41" s="27"/>
      <c r="D41" s="27"/>
      <c r="E41" s="59" t="s">
        <v>60</v>
      </c>
      <c r="F41" s="77">
        <f>ROUND('UFK-Garantie'!E55,4)</f>
        <v>0</v>
      </c>
      <c r="G41" s="27"/>
      <c r="H41" s="27"/>
      <c r="I41" s="27"/>
      <c r="K41" s="65"/>
      <c r="L41" s="45" t="s">
        <v>205</v>
      </c>
      <c r="M41" s="75">
        <v>0.27</v>
      </c>
      <c r="N41" s="75">
        <v>0.32</v>
      </c>
      <c r="O41" s="75">
        <v>0.32</v>
      </c>
      <c r="P41" s="75">
        <v>0.35</v>
      </c>
      <c r="Q41" s="75">
        <v>0.38</v>
      </c>
      <c r="R41" s="75">
        <v>0.48</v>
      </c>
      <c r="S41" s="75">
        <v>0</v>
      </c>
      <c r="T41" s="312" t="s">
        <v>20</v>
      </c>
      <c r="U41" s="313">
        <f t="shared" ref="U41:Z41" si="9">ROUNDUP((M$32*(MAX(PCCommercial,PCPolitical)/0.95)+M41*PCCommercial/0.95)*M$26*M$28,4)</f>
        <v>0.33989999999999998</v>
      </c>
      <c r="V41" s="313">
        <f t="shared" si="9"/>
        <v>0.48949999999999999</v>
      </c>
      <c r="W41" s="313">
        <f t="shared" si="9"/>
        <v>0.62529999999999997</v>
      </c>
      <c r="X41" s="313">
        <f t="shared" si="9"/>
        <v>0.83779999999999999</v>
      </c>
      <c r="Y41" s="313">
        <f t="shared" si="9"/>
        <v>1.0425</v>
      </c>
      <c r="Z41" s="313">
        <f t="shared" si="9"/>
        <v>1.2812999999999999</v>
      </c>
      <c r="AA41" s="314" t="s">
        <v>61</v>
      </c>
      <c r="AB41" s="220"/>
    </row>
    <row r="42" spans="1:239" x14ac:dyDescent="0.2">
      <c r="A42" s="27"/>
      <c r="B42" s="27"/>
      <c r="C42" s="27"/>
      <c r="D42" s="27"/>
      <c r="E42" s="27"/>
      <c r="F42" s="27"/>
      <c r="G42" s="27"/>
      <c r="H42" s="27"/>
      <c r="I42" s="27"/>
      <c r="K42" s="65"/>
      <c r="L42" s="45" t="s">
        <v>206</v>
      </c>
      <c r="M42" s="75">
        <v>0.40500000000000003</v>
      </c>
      <c r="N42" s="75">
        <v>0.45900000000000002</v>
      </c>
      <c r="O42" s="75">
        <v>0.495</v>
      </c>
      <c r="P42" s="75">
        <v>0.54</v>
      </c>
      <c r="Q42" s="75">
        <v>0.621</v>
      </c>
      <c r="R42" s="75">
        <v>0</v>
      </c>
      <c r="S42" s="75">
        <v>0</v>
      </c>
      <c r="T42" s="312" t="s">
        <v>22</v>
      </c>
      <c r="U42" s="313">
        <f>ROUNDUP((M$32*(MAX(PCCommercial,PCPolitical)/0.95)+M42*PCCommercial/0.95)*M$26*M$28,4)</f>
        <v>0.46739999999999998</v>
      </c>
      <c r="V42" s="313">
        <f>ROUNDUP((N$32*(MAX(PCCommercial,PCPolitical)/0.95)+N42*PCCommercial/0.95)*N$26*N$28,4)</f>
        <v>0.62029999999999996</v>
      </c>
      <c r="W42" s="313">
        <f>ROUNDUP((O$32*(MAX(PCCommercial,PCPolitical)/0.95)+O42*PCCommercial/0.95)*O$26*O$28,4)</f>
        <v>0.78859999999999997</v>
      </c>
      <c r="X42" s="313">
        <f>ROUNDUP((P$32*(MAX(PCCommercial,PCPolitical)/0.95)+P42*PCCommercial/0.95)*P$26*P$28,4)</f>
        <v>1.0145999999999999</v>
      </c>
      <c r="Y42" s="313">
        <f>ROUNDUP((Q$32*(MAX(PCCommercial,PCPolitical)/0.95)+Q42*PCCommercial/0.95)*Q$26*Q$28,4)</f>
        <v>1.2668999999999999</v>
      </c>
      <c r="Z42" s="313" t="s">
        <v>61</v>
      </c>
      <c r="AA42" s="314" t="s">
        <v>61</v>
      </c>
      <c r="AB42" s="220"/>
    </row>
    <row r="43" spans="1:239" ht="13.5" thickBot="1" x14ac:dyDescent="0.25">
      <c r="A43" s="27"/>
      <c r="B43" s="27"/>
      <c r="C43" s="27"/>
      <c r="D43" s="27"/>
      <c r="E43" s="59" t="s">
        <v>62</v>
      </c>
      <c r="F43" s="414">
        <v>1</v>
      </c>
      <c r="G43" s="27"/>
      <c r="H43" s="27"/>
      <c r="I43" s="27"/>
      <c r="K43" s="78"/>
      <c r="L43" s="79" t="s">
        <v>207</v>
      </c>
      <c r="M43" s="80">
        <v>0.63</v>
      </c>
      <c r="N43" s="80">
        <v>0.67500000000000004</v>
      </c>
      <c r="O43" s="80">
        <v>0.72</v>
      </c>
      <c r="P43" s="80">
        <v>0.81</v>
      </c>
      <c r="Q43" s="80">
        <v>0</v>
      </c>
      <c r="R43" s="80">
        <v>0</v>
      </c>
      <c r="S43" s="80">
        <v>0</v>
      </c>
      <c r="T43" s="251" t="s">
        <v>23</v>
      </c>
      <c r="U43" s="252">
        <f>ROUNDUP((M$32*(MAX(PCCommercial,PCPolitical)/0.95)+M43*PCCommercial/0.95)*M$26*M$28,4)</f>
        <v>0.67979999999999996</v>
      </c>
      <c r="V43" s="252">
        <f>ROUNDUP((N$32*(MAX(PCCommercial,PCPolitical)/0.95)+N43*PCCommercial/0.95)*N$26*N$28,4)</f>
        <v>0.8236</v>
      </c>
      <c r="W43" s="252">
        <f>ROUNDUP((O$32*(MAX(PCCommercial,PCPolitical)/0.95)+O43*PCCommercial/0.95)*O$26*O$28,4)</f>
        <v>0.99849999999999994</v>
      </c>
      <c r="X43" s="252">
        <f>ROUNDUP((P$32*(MAX(PCCommercial,PCPolitical)/0.95)+P43*PCCommercial/0.95)*P$26*P$28,4)</f>
        <v>1.2659</v>
      </c>
      <c r="Y43" s="252" t="s">
        <v>61</v>
      </c>
      <c r="Z43" s="252" t="s">
        <v>61</v>
      </c>
      <c r="AA43" s="253" t="s">
        <v>61</v>
      </c>
      <c r="AB43" s="220"/>
    </row>
    <row r="44" spans="1:239" ht="13.5" thickTop="1" x14ac:dyDescent="0.2">
      <c r="A44" s="27"/>
      <c r="B44" s="27"/>
      <c r="C44" s="27"/>
      <c r="D44" s="27"/>
      <c r="E44" s="27"/>
      <c r="F44" s="27"/>
      <c r="G44" s="27"/>
      <c r="H44" s="27"/>
      <c r="I44" s="27"/>
      <c r="L44" s="32"/>
      <c r="M44" s="64"/>
      <c r="N44" s="64"/>
      <c r="O44" s="64"/>
      <c r="P44" s="64"/>
      <c r="Q44" s="64"/>
      <c r="R44" s="64"/>
      <c r="S44" s="64"/>
      <c r="T44" s="64"/>
      <c r="U44" s="64"/>
      <c r="V44" s="64"/>
      <c r="W44" s="64"/>
      <c r="X44" s="64"/>
      <c r="Y44" s="64"/>
      <c r="Z44" s="64"/>
      <c r="AA44" s="254"/>
      <c r="AB44" s="220"/>
    </row>
    <row r="45" spans="1:239" ht="13.5" thickBot="1" x14ac:dyDescent="0.25">
      <c r="A45" s="27"/>
      <c r="B45" s="27"/>
      <c r="C45" s="27"/>
      <c r="D45" s="27"/>
      <c r="E45" s="27"/>
      <c r="F45" s="27"/>
      <c r="G45" s="27"/>
      <c r="H45" s="27"/>
      <c r="I45" s="27"/>
      <c r="K45" s="32" t="s">
        <v>125</v>
      </c>
      <c r="L45" s="32"/>
      <c r="M45" s="64"/>
      <c r="N45" s="64"/>
      <c r="O45" s="64"/>
      <c r="P45" s="64"/>
      <c r="Q45" s="64"/>
      <c r="R45" s="64"/>
      <c r="S45" s="64"/>
      <c r="T45" s="64"/>
      <c r="U45" s="64"/>
      <c r="V45" s="64"/>
      <c r="W45" s="64"/>
      <c r="X45" s="64"/>
      <c r="Y45" s="64"/>
      <c r="Z45" s="64"/>
      <c r="AA45" s="254"/>
      <c r="AB45" s="220"/>
    </row>
    <row r="46" spans="1:239" ht="13.5" thickBot="1" x14ac:dyDescent="0.25">
      <c r="A46" s="27"/>
      <c r="B46" s="27"/>
      <c r="C46" s="27"/>
      <c r="D46" s="27"/>
      <c r="E46" s="27"/>
      <c r="F46" s="27"/>
      <c r="G46" s="27"/>
      <c r="H46" s="27"/>
      <c r="I46" s="27"/>
      <c r="K46" s="5"/>
      <c r="L46" s="81" t="s">
        <v>13</v>
      </c>
      <c r="M46" s="82">
        <v>1</v>
      </c>
      <c r="N46" s="82">
        <v>2</v>
      </c>
      <c r="O46" s="82">
        <v>3</v>
      </c>
      <c r="P46" s="82">
        <v>4</v>
      </c>
      <c r="Q46" s="82">
        <v>5</v>
      </c>
      <c r="R46" s="82">
        <v>6</v>
      </c>
      <c r="S46" s="83">
        <v>7</v>
      </c>
      <c r="T46" s="64"/>
      <c r="U46" s="64"/>
      <c r="V46" s="96" t="s">
        <v>126</v>
      </c>
      <c r="W46" s="64"/>
      <c r="X46" s="64"/>
      <c r="Y46" s="64"/>
      <c r="Z46" s="64"/>
      <c r="AA46" s="254"/>
      <c r="AB46" s="220"/>
    </row>
    <row r="47" spans="1:239" x14ac:dyDescent="0.2">
      <c r="A47" s="27"/>
      <c r="B47" s="27"/>
      <c r="C47" s="27"/>
      <c r="D47" s="27"/>
      <c r="E47" s="27"/>
      <c r="F47" s="27"/>
      <c r="G47" s="27"/>
      <c r="H47" s="27"/>
      <c r="I47" s="27"/>
      <c r="K47" s="581" t="s">
        <v>142</v>
      </c>
      <c r="L47" s="85" t="s">
        <v>202</v>
      </c>
      <c r="M47" s="255">
        <f>$U$37*HOR+$U$33</f>
        <v>1.2230000000000001</v>
      </c>
      <c r="N47" s="255">
        <f>$V$37*HOR+$V$33</f>
        <v>2.3066499999999999</v>
      </c>
      <c r="O47" s="255">
        <f>$W$37*HOR+$W$33</f>
        <v>3.7570499999999996</v>
      </c>
      <c r="P47" s="255">
        <f>$X$37*HOR+$X$33</f>
        <v>5.7018000000000004</v>
      </c>
      <c r="Q47" s="255">
        <f>$Y$37*HOR+$Y$33</f>
        <v>7.9304999999999994</v>
      </c>
      <c r="R47" s="255">
        <f>$Z$37*HOR+$Z$33</f>
        <v>9.8879999999999999</v>
      </c>
      <c r="S47" s="256">
        <f>$AA$37*HOR+$AA$33</f>
        <v>12.394850000000002</v>
      </c>
      <c r="T47" s="64"/>
      <c r="U47" s="64"/>
      <c r="V47" s="96" t="s">
        <v>127</v>
      </c>
      <c r="W47" s="257">
        <f>X63</f>
        <v>3</v>
      </c>
      <c r="X47" s="64" t="str">
        <f>X64</f>
        <v>PC3</v>
      </c>
      <c r="Y47" s="258">
        <f>IF(OR(RLZ=0,X47="n.v."),0,ROUND(VLOOKUP(X47,L46:S55,W47+1),4))</f>
        <v>6.8924000000000003</v>
      </c>
      <c r="Z47" s="64"/>
      <c r="AA47" s="254"/>
      <c r="AB47" s="220"/>
    </row>
    <row r="48" spans="1:239" s="40" customFormat="1" x14ac:dyDescent="0.2">
      <c r="A48" s="37"/>
      <c r="B48" s="27"/>
      <c r="C48" s="27"/>
      <c r="D48" s="27"/>
      <c r="E48" s="27"/>
      <c r="F48" s="27"/>
      <c r="G48" s="27"/>
      <c r="H48" s="27"/>
      <c r="I48" s="37"/>
      <c r="J48" s="26"/>
      <c r="K48" s="582"/>
      <c r="L48" s="88" t="s">
        <v>203</v>
      </c>
      <c r="M48" s="259">
        <f>$U$39*HOR+$U$33</f>
        <v>2.3139500000000002</v>
      </c>
      <c r="N48" s="259">
        <f>$V$39*HOR+$V$33</f>
        <v>3.4920999999999998</v>
      </c>
      <c r="O48" s="259">
        <f>$W$39*HOR+$W$33</f>
        <v>4.8343499999999997</v>
      </c>
      <c r="P48" s="259">
        <f>$X$39*HOR+$X$33</f>
        <v>6.6793499999999995</v>
      </c>
      <c r="Q48" s="259">
        <f>$Y$39*HOR+$Y$33</f>
        <v>8.9080500000000011</v>
      </c>
      <c r="R48" s="259">
        <f>$Z$39*HOR+$Z$33</f>
        <v>10.86345</v>
      </c>
      <c r="S48" s="256">
        <f>$AA$39*HOR+$AA$33</f>
        <v>13.613900000000001</v>
      </c>
      <c r="T48" s="64"/>
      <c r="U48" s="64"/>
      <c r="V48" s="96" t="s">
        <v>127</v>
      </c>
      <c r="W48" s="257">
        <f>W47</f>
        <v>3</v>
      </c>
      <c r="X48" s="64" t="s">
        <v>202</v>
      </c>
      <c r="Y48" s="258">
        <f>ROUND(VLOOKUP(X48,L47:S56,W48+1),4)</f>
        <v>3.7570999999999999</v>
      </c>
      <c r="Z48" s="64"/>
      <c r="AA48" s="254"/>
      <c r="AB48" s="260"/>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c r="GE48" s="32"/>
      <c r="GF48" s="32"/>
      <c r="GG48" s="32"/>
      <c r="GH48" s="32"/>
      <c r="GI48" s="32"/>
      <c r="GJ48" s="32"/>
      <c r="GK48" s="32"/>
      <c r="GL48" s="32"/>
      <c r="GM48" s="32"/>
      <c r="GN48" s="32"/>
      <c r="GO48" s="32"/>
      <c r="GP48" s="32"/>
      <c r="GQ48" s="32"/>
      <c r="GR48" s="32"/>
      <c r="GS48" s="32"/>
      <c r="GT48" s="32"/>
      <c r="GU48" s="32"/>
      <c r="GV48" s="32"/>
      <c r="GW48" s="32"/>
      <c r="GX48" s="32"/>
      <c r="GY48" s="32"/>
      <c r="GZ48" s="32"/>
      <c r="HA48" s="32"/>
      <c r="HB48" s="32"/>
      <c r="HC48" s="32"/>
      <c r="HD48" s="32"/>
      <c r="HE48" s="32"/>
      <c r="HF48" s="32"/>
      <c r="HG48" s="32"/>
      <c r="HH48" s="32"/>
      <c r="HI48" s="32"/>
      <c r="HJ48" s="32"/>
      <c r="HK48" s="32"/>
      <c r="HL48" s="32"/>
      <c r="HM48" s="32"/>
      <c r="HN48" s="32"/>
      <c r="HO48" s="32"/>
      <c r="HP48" s="32"/>
      <c r="HQ48" s="32"/>
      <c r="HR48" s="32"/>
      <c r="HS48" s="32"/>
      <c r="HT48" s="32"/>
      <c r="HU48" s="32"/>
      <c r="HV48" s="32"/>
      <c r="HW48" s="32"/>
      <c r="HX48" s="32"/>
      <c r="HY48" s="32"/>
      <c r="HZ48" s="32"/>
      <c r="IA48" s="32"/>
      <c r="IB48" s="32"/>
      <c r="IC48" s="32"/>
      <c r="ID48" s="32"/>
      <c r="IE48" s="32"/>
    </row>
    <row r="49" spans="1:239" ht="13.9" customHeight="1" x14ac:dyDescent="0.2">
      <c r="A49" s="40"/>
      <c r="I49" s="40"/>
      <c r="K49" s="582"/>
      <c r="L49" s="88" t="s">
        <v>204</v>
      </c>
      <c r="M49" s="259">
        <f>$U$40*HOR+$U$33</f>
        <v>3.2054</v>
      </c>
      <c r="N49" s="259">
        <f>$V$40*HOR+$V$33</f>
        <v>4.4013999999999998</v>
      </c>
      <c r="O49" s="259">
        <f>$W$40*HOR+$W$33</f>
        <v>5.9410499999999997</v>
      </c>
      <c r="P49" s="259">
        <f>$X$40*HOR+$X$33</f>
        <v>7.9887000000000006</v>
      </c>
      <c r="Q49" s="259">
        <f>$Y$40*HOR+$Y$33</f>
        <v>10.334999999999999</v>
      </c>
      <c r="R49" s="259">
        <f>$Z$40*HOR+$Z$33</f>
        <v>12.4038</v>
      </c>
      <c r="S49" s="256">
        <f>$AA$40*HOR+$AA$33</f>
        <v>15.03665</v>
      </c>
      <c r="T49" s="64"/>
      <c r="U49" s="64"/>
      <c r="V49" s="64" t="s">
        <v>128</v>
      </c>
      <c r="W49" s="64"/>
      <c r="X49" s="64"/>
      <c r="Y49" s="258">
        <f>Y47-Y48</f>
        <v>3.1353000000000004</v>
      </c>
      <c r="Z49" s="64"/>
      <c r="AA49" s="254"/>
      <c r="AB49" s="220"/>
    </row>
    <row r="50" spans="1:239" s="40" customFormat="1" x14ac:dyDescent="0.2">
      <c r="A50" s="37"/>
      <c r="I50" s="37"/>
      <c r="J50" s="26"/>
      <c r="K50" s="582"/>
      <c r="L50" s="88" t="s">
        <v>205</v>
      </c>
      <c r="M50" s="259">
        <f>$U$41*HOR+$U$33</f>
        <v>3.8994499999999999</v>
      </c>
      <c r="N50" s="259">
        <f>$V$41*HOR+$V$33</f>
        <v>5.4692500000000006</v>
      </c>
      <c r="O50" s="259">
        <f>$W$41*HOR+$W$33</f>
        <v>6.8923499999999995</v>
      </c>
      <c r="P50" s="259">
        <f>$X$41*HOR+$X$33</f>
        <v>9.1226999999999983</v>
      </c>
      <c r="Q50" s="259">
        <f>$Y$41*HOR+$Y$33</f>
        <v>11.644349999999999</v>
      </c>
      <c r="R50" s="259">
        <f>$Z$41*HOR+$Z$33</f>
        <v>14.56785</v>
      </c>
      <c r="S50" s="256" t="s">
        <v>21</v>
      </c>
      <c r="T50" s="64"/>
      <c r="U50" s="64"/>
      <c r="V50" s="96" t="s">
        <v>129</v>
      </c>
      <c r="W50" s="262">
        <f>CE</f>
        <v>0</v>
      </c>
      <c r="X50" s="64"/>
      <c r="Y50" s="258">
        <f>ROUNDDOWN(Y49*W50,2)</f>
        <v>0</v>
      </c>
      <c r="Z50" s="64"/>
      <c r="AA50" s="254"/>
      <c r="AB50" s="220">
        <v>1</v>
      </c>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2"/>
      <c r="FN50" s="32"/>
      <c r="FO50" s="32"/>
      <c r="FP50" s="32"/>
      <c r="FQ50" s="32"/>
      <c r="FR50" s="32"/>
      <c r="FS50" s="32"/>
      <c r="FT50" s="32"/>
      <c r="FU50" s="32"/>
      <c r="FV50" s="32"/>
      <c r="FW50" s="32"/>
      <c r="FX50" s="32"/>
      <c r="FY50" s="32"/>
      <c r="FZ50" s="32"/>
      <c r="GA50" s="32"/>
      <c r="GB50" s="32"/>
      <c r="GC50" s="32"/>
      <c r="GD50" s="32"/>
      <c r="GE50" s="32"/>
      <c r="GF50" s="32"/>
      <c r="GG50" s="32"/>
      <c r="GH50" s="32"/>
      <c r="GI50" s="32"/>
      <c r="GJ50" s="32"/>
      <c r="GK50" s="32"/>
      <c r="GL50" s="32"/>
      <c r="GM50" s="32"/>
      <c r="GN50" s="32"/>
      <c r="GO50" s="32"/>
      <c r="GP50" s="32"/>
      <c r="GQ50" s="32"/>
      <c r="GR50" s="32"/>
      <c r="GS50" s="32"/>
      <c r="GT50" s="32"/>
      <c r="GU50" s="32"/>
      <c r="GV50" s="32"/>
      <c r="GW50" s="32"/>
      <c r="GX50" s="32"/>
      <c r="GY50" s="32"/>
      <c r="GZ50" s="32"/>
      <c r="HA50" s="32"/>
      <c r="HB50" s="32"/>
      <c r="HC50" s="32"/>
      <c r="HD50" s="32"/>
      <c r="HE50" s="32"/>
      <c r="HF50" s="32"/>
      <c r="HG50" s="32"/>
      <c r="HH50" s="32"/>
      <c r="HI50" s="32"/>
      <c r="HJ50" s="32"/>
      <c r="HK50" s="32"/>
      <c r="HL50" s="32"/>
      <c r="HM50" s="32"/>
      <c r="HN50" s="32"/>
      <c r="HO50" s="32"/>
      <c r="HP50" s="32"/>
      <c r="HQ50" s="32"/>
      <c r="HR50" s="32"/>
      <c r="HS50" s="32"/>
      <c r="HT50" s="32"/>
      <c r="HU50" s="32"/>
      <c r="HV50" s="32"/>
      <c r="HW50" s="32"/>
      <c r="HX50" s="32"/>
      <c r="HY50" s="32"/>
      <c r="HZ50" s="32"/>
      <c r="IA50" s="32"/>
      <c r="IB50" s="32"/>
      <c r="IC50" s="32"/>
      <c r="ID50" s="32"/>
      <c r="IE50" s="32"/>
    </row>
    <row r="51" spans="1:239" s="40" customFormat="1" x14ac:dyDescent="0.2">
      <c r="B51" s="37"/>
      <c r="C51" s="37"/>
      <c r="D51" s="37"/>
      <c r="E51" s="37"/>
      <c r="F51" s="37"/>
      <c r="G51" s="37"/>
      <c r="H51" s="37"/>
      <c r="J51" s="26"/>
      <c r="K51" s="582"/>
      <c r="L51" s="88" t="s">
        <v>206</v>
      </c>
      <c r="M51" s="259">
        <f>$U$42*HOR+$U$33</f>
        <v>5.2382</v>
      </c>
      <c r="N51" s="259">
        <f>$V$42*HOR+$V$33</f>
        <v>6.8426499999999999</v>
      </c>
      <c r="O51" s="259">
        <f>$W$42*HOR+$W$33</f>
        <v>8.6070000000000011</v>
      </c>
      <c r="P51" s="259">
        <f>$X$42*HOR+$X$33</f>
        <v>10.979099999999999</v>
      </c>
      <c r="Q51" s="259">
        <f>$Y$42*HOR+$Y$33</f>
        <v>14.000549999999999</v>
      </c>
      <c r="R51" s="259" t="s">
        <v>21</v>
      </c>
      <c r="S51" s="256" t="s">
        <v>21</v>
      </c>
      <c r="T51" s="64"/>
      <c r="U51" s="64"/>
      <c r="V51" s="96" t="s">
        <v>130</v>
      </c>
      <c r="W51" s="257">
        <f>W47</f>
        <v>3</v>
      </c>
      <c r="X51" s="64" t="str">
        <f>X47</f>
        <v>PC3</v>
      </c>
      <c r="Y51" s="258">
        <f>Y47-Y50</f>
        <v>6.8924000000000003</v>
      </c>
      <c r="Z51" s="64"/>
      <c r="AA51" s="254"/>
      <c r="AB51" s="220">
        <v>2</v>
      </c>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2"/>
      <c r="GP51" s="32"/>
      <c r="GQ51" s="32"/>
      <c r="GR51" s="32"/>
      <c r="GS51" s="32"/>
      <c r="GT51" s="32"/>
      <c r="GU51" s="32"/>
      <c r="GV51" s="32"/>
      <c r="GW51" s="32"/>
      <c r="GX51" s="32"/>
      <c r="GY51" s="32"/>
      <c r="GZ51" s="32"/>
      <c r="HA51" s="32"/>
      <c r="HB51" s="32"/>
      <c r="HC51" s="32"/>
      <c r="HD51" s="32"/>
      <c r="HE51" s="32"/>
      <c r="HF51" s="32"/>
      <c r="HG51" s="32"/>
      <c r="HH51" s="32"/>
      <c r="HI51" s="32"/>
      <c r="HJ51" s="32"/>
      <c r="HK51" s="32"/>
      <c r="HL51" s="32"/>
      <c r="HM51" s="32"/>
      <c r="HN51" s="32"/>
      <c r="HO51" s="32"/>
      <c r="HP51" s="32"/>
      <c r="HQ51" s="32"/>
      <c r="HR51" s="32"/>
      <c r="HS51" s="32"/>
      <c r="HT51" s="32"/>
      <c r="HU51" s="32"/>
      <c r="HV51" s="32"/>
      <c r="HW51" s="32"/>
      <c r="HX51" s="32"/>
      <c r="HY51" s="32"/>
      <c r="HZ51" s="32"/>
      <c r="IA51" s="32"/>
      <c r="IB51" s="32"/>
      <c r="IC51" s="32"/>
      <c r="ID51" s="32"/>
      <c r="IE51" s="32"/>
    </row>
    <row r="52" spans="1:239" x14ac:dyDescent="0.2">
      <c r="A52" s="40"/>
      <c r="B52" s="40"/>
      <c r="C52" s="40"/>
      <c r="D52" s="40"/>
      <c r="E52" s="40"/>
      <c r="F52" s="40"/>
      <c r="G52" s="40"/>
      <c r="H52" s="40"/>
      <c r="I52" s="40"/>
      <c r="K52" s="582"/>
      <c r="L52" s="88" t="s">
        <v>207</v>
      </c>
      <c r="M52" s="259">
        <f>$U$43*HOR+$U$33</f>
        <v>7.468399999999999</v>
      </c>
      <c r="N52" s="259">
        <f>$V$43*HOR+$V$33</f>
        <v>8.9772999999999996</v>
      </c>
      <c r="O52" s="259">
        <f>$W$43*HOR+$W$33</f>
        <v>10.81095</v>
      </c>
      <c r="P52" s="259">
        <f>$X$43*HOR+$X$33</f>
        <v>13.617749999999999</v>
      </c>
      <c r="Q52" s="259" t="s">
        <v>21</v>
      </c>
      <c r="R52" s="259" t="s">
        <v>21</v>
      </c>
      <c r="S52" s="256" t="s">
        <v>21</v>
      </c>
      <c r="T52" s="64"/>
      <c r="U52" s="64"/>
      <c r="V52" s="64"/>
      <c r="W52" s="64"/>
      <c r="X52" s="64"/>
      <c r="Y52" s="258"/>
      <c r="Z52" s="64"/>
      <c r="AA52" s="254"/>
      <c r="AB52" s="220">
        <v>3</v>
      </c>
    </row>
    <row r="53" spans="1:239" x14ac:dyDescent="0.2">
      <c r="B53" s="40"/>
      <c r="C53" s="40"/>
      <c r="D53" s="40"/>
      <c r="E53" s="40"/>
      <c r="F53" s="40"/>
      <c r="G53" s="40"/>
      <c r="H53" s="40"/>
      <c r="K53" s="582"/>
      <c r="L53" s="88" t="s">
        <v>15</v>
      </c>
      <c r="M53" s="255">
        <f>$U$37*HOR+$U$33</f>
        <v>1.2230000000000001</v>
      </c>
      <c r="N53" s="255">
        <f>$V$37*HOR+$V$33</f>
        <v>2.3066499999999999</v>
      </c>
      <c r="O53" s="255">
        <f>$W$37*HOR+$W$33</f>
        <v>3.7570499999999996</v>
      </c>
      <c r="P53" s="255">
        <f>$X$37*HOR+$X$33</f>
        <v>5.7018000000000004</v>
      </c>
      <c r="Q53" s="255">
        <f>$Y$37*HOR+$Y$33</f>
        <v>7.9304999999999994</v>
      </c>
      <c r="R53" s="255">
        <f>$Z$37*HOR+$Z$33</f>
        <v>9.8879999999999999</v>
      </c>
      <c r="S53" s="256">
        <f>$AA$37*HOR+$AA$33</f>
        <v>12.394850000000002</v>
      </c>
      <c r="T53" s="64"/>
      <c r="U53" s="64"/>
      <c r="V53" s="64" t="s">
        <v>131</v>
      </c>
      <c r="W53" s="64"/>
      <c r="X53" s="64"/>
      <c r="Y53" s="258">
        <f>ROUND(X83,4)</f>
        <v>6.8914</v>
      </c>
      <c r="Z53" s="64"/>
      <c r="AA53" s="254"/>
      <c r="AB53" s="220">
        <v>4</v>
      </c>
    </row>
    <row r="54" spans="1:239" x14ac:dyDescent="0.2">
      <c r="K54" s="582"/>
      <c r="L54" s="88" t="s">
        <v>17</v>
      </c>
      <c r="M54" s="255">
        <f>$U$38*HOR+$U$34</f>
        <v>1.34535</v>
      </c>
      <c r="N54" s="255">
        <f>$V$38*HOR+$V$34</f>
        <v>2.5370499999999998</v>
      </c>
      <c r="O54" s="255">
        <f>$W$38*HOR+$W$34</f>
        <v>4.1320500000000004</v>
      </c>
      <c r="P54" s="255">
        <f>$X$38*HOR+$X$34</f>
        <v>6.27095</v>
      </c>
      <c r="Q54" s="255">
        <f>$Y$38*HOR+$Y$34</f>
        <v>8.7238500000000005</v>
      </c>
      <c r="R54" s="255">
        <f>$Z$38*HOR+$Z$34</f>
        <v>10.8773</v>
      </c>
      <c r="S54" s="256">
        <f>$AA$38*HOR+$AA$34</f>
        <v>13.6341</v>
      </c>
      <c r="T54" s="64"/>
      <c r="U54" s="64"/>
      <c r="V54" s="64" t="str">
        <f>IF(X83&gt;Y51,"Nicht OECD-konform","OK")</f>
        <v>OK</v>
      </c>
      <c r="W54" s="64"/>
      <c r="X54" s="64"/>
      <c r="Y54" s="64"/>
      <c r="Z54" s="64"/>
      <c r="AA54" s="254"/>
      <c r="AB54" s="220">
        <v>5</v>
      </c>
    </row>
    <row r="55" spans="1:239" ht="13.5" thickBot="1" x14ac:dyDescent="0.25">
      <c r="K55" s="583"/>
      <c r="L55" s="90" t="s">
        <v>7</v>
      </c>
      <c r="M55" s="263">
        <f>$U$36*HOR+$U$32</f>
        <v>1.1007500000000001</v>
      </c>
      <c r="N55" s="263">
        <f>$V$36*HOR+$V$32</f>
        <v>2.0763499999999997</v>
      </c>
      <c r="O55" s="263">
        <f>$W$36*HOR+$W$32</f>
        <v>3.3809999999999998</v>
      </c>
      <c r="P55" s="263">
        <f>$X$36*HOR+$X$32</f>
        <v>5.1315999999999997</v>
      </c>
      <c r="Q55" s="263">
        <f>$Y$36*HOR+$Y$32</f>
        <v>7.1383000000000001</v>
      </c>
      <c r="R55" s="263">
        <f>$Z$36*HOR+$Z$32</f>
        <v>8.8998500000000007</v>
      </c>
      <c r="S55" s="263">
        <f>$AA$36*HOR+$AA$32</f>
        <v>11.1557</v>
      </c>
      <c r="T55" s="64"/>
      <c r="U55" s="64"/>
      <c r="V55" s="64"/>
      <c r="W55" s="64"/>
      <c r="X55" s="64"/>
      <c r="Y55" s="64"/>
      <c r="Z55" s="64"/>
      <c r="AA55" s="254"/>
      <c r="AB55" s="220">
        <v>6</v>
      </c>
    </row>
    <row r="56" spans="1:239" ht="13.15" customHeight="1" x14ac:dyDescent="0.2">
      <c r="K56" s="32"/>
      <c r="L56" s="32"/>
      <c r="M56" s="87"/>
      <c r="N56" s="87"/>
      <c r="O56" s="87"/>
      <c r="P56" s="87"/>
      <c r="Q56" s="87"/>
      <c r="R56" s="87"/>
      <c r="S56" s="87"/>
      <c r="T56" s="87"/>
      <c r="U56" s="87"/>
      <c r="V56" s="87"/>
      <c r="W56" s="87"/>
      <c r="X56" s="87"/>
      <c r="Y56" s="87"/>
      <c r="Z56" s="87"/>
      <c r="AA56" s="98"/>
      <c r="AB56" s="220">
        <v>7</v>
      </c>
    </row>
    <row r="57" spans="1:239" ht="13.15" customHeight="1" x14ac:dyDescent="0.2">
      <c r="K57" s="32"/>
      <c r="L57" s="32"/>
      <c r="M57" s="87"/>
      <c r="N57" s="87"/>
      <c r="O57" s="87"/>
      <c r="P57" s="87"/>
      <c r="Q57" s="87"/>
      <c r="R57" s="87"/>
      <c r="S57" s="87"/>
      <c r="T57" s="87"/>
      <c r="U57" s="87"/>
      <c r="V57" s="87"/>
      <c r="W57" s="87"/>
      <c r="X57" s="87"/>
      <c r="Y57" s="87"/>
      <c r="Z57" s="87"/>
      <c r="AA57" s="98"/>
      <c r="AB57" s="220">
        <v>8</v>
      </c>
    </row>
    <row r="58" spans="1:239" x14ac:dyDescent="0.2">
      <c r="K58" s="32"/>
      <c r="L58" s="32"/>
      <c r="N58" s="225"/>
      <c r="O58" s="225"/>
      <c r="P58" s="225"/>
      <c r="Q58" s="225"/>
      <c r="R58" s="225"/>
      <c r="S58" s="225"/>
      <c r="T58" s="225"/>
      <c r="U58" s="87"/>
      <c r="V58" s="87"/>
      <c r="W58" s="87"/>
      <c r="X58" s="87"/>
      <c r="Y58" s="87"/>
      <c r="Z58" s="87"/>
      <c r="AA58" s="98"/>
      <c r="AB58" s="220">
        <v>9</v>
      </c>
    </row>
    <row r="59" spans="1:239" x14ac:dyDescent="0.2">
      <c r="J59" s="84"/>
      <c r="K59" s="224" t="s">
        <v>132</v>
      </c>
      <c r="L59" s="225"/>
      <c r="N59" s="225"/>
      <c r="O59" s="225"/>
      <c r="P59" s="225"/>
      <c r="Q59" s="225"/>
      <c r="R59" s="225"/>
      <c r="S59" s="225"/>
      <c r="T59" s="225"/>
      <c r="U59" s="87"/>
      <c r="V59" s="87"/>
      <c r="W59" s="87"/>
      <c r="X59" s="87"/>
      <c r="Y59" s="87"/>
      <c r="Z59" s="87"/>
      <c r="AA59" s="98"/>
      <c r="AB59" s="220">
        <v>10</v>
      </c>
    </row>
    <row r="60" spans="1:239" ht="13.15" customHeight="1" x14ac:dyDescent="0.2">
      <c r="K60" s="32" t="s">
        <v>63</v>
      </c>
      <c r="L60" s="225"/>
      <c r="N60" s="225"/>
      <c r="O60" s="225"/>
      <c r="P60" s="225"/>
      <c r="Q60" s="225"/>
      <c r="R60" s="225"/>
      <c r="S60" s="225"/>
      <c r="T60" s="225"/>
      <c r="U60" s="87"/>
      <c r="V60" s="87"/>
      <c r="W60" s="87"/>
      <c r="X60" s="87"/>
      <c r="Y60" s="87"/>
      <c r="Z60" s="87"/>
      <c r="AA60" s="98"/>
      <c r="AB60" s="220">
        <v>11</v>
      </c>
    </row>
    <row r="61" spans="1:239" ht="13.15" customHeight="1" thickBot="1" x14ac:dyDescent="0.25">
      <c r="J61" s="84"/>
      <c r="K61" s="224" t="s">
        <v>41</v>
      </c>
      <c r="L61" s="225" t="s">
        <v>42</v>
      </c>
      <c r="N61" s="225"/>
      <c r="O61" s="225"/>
      <c r="P61" s="225"/>
      <c r="Q61" s="225"/>
      <c r="R61" s="225"/>
      <c r="S61" s="225"/>
      <c r="T61" s="225"/>
      <c r="U61" s="87"/>
      <c r="V61" s="87"/>
      <c r="W61" s="87"/>
      <c r="X61" s="87"/>
      <c r="Y61" s="87"/>
      <c r="Z61" s="87"/>
      <c r="AA61" s="98"/>
      <c r="AB61" s="220">
        <v>12</v>
      </c>
    </row>
    <row r="62" spans="1:239" ht="13.5" thickBot="1" x14ac:dyDescent="0.25">
      <c r="J62" s="84"/>
      <c r="K62" s="5"/>
      <c r="L62" s="81" t="s">
        <v>13</v>
      </c>
      <c r="M62" s="82">
        <v>1</v>
      </c>
      <c r="N62" s="82">
        <v>2</v>
      </c>
      <c r="O62" s="82">
        <v>3</v>
      </c>
      <c r="P62" s="82">
        <v>4</v>
      </c>
      <c r="Q62" s="82">
        <v>5</v>
      </c>
      <c r="R62" s="82">
        <v>6</v>
      </c>
      <c r="S62" s="265">
        <v>7</v>
      </c>
      <c r="T62" s="225"/>
      <c r="U62" s="87"/>
      <c r="V62" s="87"/>
      <c r="W62" s="87"/>
      <c r="X62" s="87"/>
      <c r="Y62" s="87"/>
      <c r="Z62" s="87"/>
      <c r="AA62" s="98"/>
      <c r="AB62" s="220"/>
    </row>
    <row r="63" spans="1:239" ht="13.5" thickBot="1" x14ac:dyDescent="0.25">
      <c r="K63" s="581" t="s">
        <v>143</v>
      </c>
      <c r="L63" s="85" t="s">
        <v>7</v>
      </c>
      <c r="M63" s="347">
        <f t="shared" ref="M63:S63" si="10">((M$32*HOR+M$33)*(MAX(PCCommercial,PCPolitical)/0.95)*LCF+M36*(PCCommercial/0.95)*HOR)*M$26*M$28*$F$28</f>
        <v>1.1002933421052634</v>
      </c>
      <c r="N63" s="347">
        <f t="shared" si="10"/>
        <v>2.0753692105263162</v>
      </c>
      <c r="O63" s="347">
        <f t="shared" si="10"/>
        <v>3.3803644736842102</v>
      </c>
      <c r="P63" s="347">
        <f t="shared" si="10"/>
        <v>5.130976973684211</v>
      </c>
      <c r="Q63" s="347">
        <f t="shared" si="10"/>
        <v>7.1372936842105261</v>
      </c>
      <c r="R63" s="347">
        <f t="shared" si="10"/>
        <v>8.8989157894736852</v>
      </c>
      <c r="S63" s="348">
        <f t="shared" si="10"/>
        <v>11.154978947368422</v>
      </c>
      <c r="T63" s="267"/>
      <c r="V63" s="32" t="s">
        <v>14</v>
      </c>
      <c r="W63" s="32"/>
      <c r="X63" s="194">
        <f>F32</f>
        <v>3</v>
      </c>
      <c r="Z63" s="268"/>
      <c r="AA63" s="98"/>
      <c r="AB63" s="220"/>
    </row>
    <row r="64" spans="1:239" ht="13.5" thickBot="1" x14ac:dyDescent="0.25">
      <c r="K64" s="582"/>
      <c r="L64" s="88" t="s">
        <v>15</v>
      </c>
      <c r="M64" s="266">
        <f t="shared" ref="M64:S64" si="11">((M$32*HOR+M$33)*(MAX(PCCommercial,PCPolitical)/0.95)*LCF+M37*(PCCommercial/0.95)*HOR)*M$26*M$28</f>
        <v>1.222548157894737</v>
      </c>
      <c r="N64" s="266">
        <f t="shared" si="11"/>
        <v>2.3059657894736847</v>
      </c>
      <c r="O64" s="266">
        <f t="shared" si="11"/>
        <v>3.7559605263157891</v>
      </c>
      <c r="P64" s="266">
        <f t="shared" si="11"/>
        <v>5.70108552631579</v>
      </c>
      <c r="Q64" s="266">
        <f t="shared" si="11"/>
        <v>7.9303263157894737</v>
      </c>
      <c r="R64" s="266">
        <f t="shared" si="11"/>
        <v>9.8876842105263165</v>
      </c>
      <c r="S64" s="349">
        <f t="shared" si="11"/>
        <v>12.39442105263158</v>
      </c>
      <c r="T64" s="267"/>
      <c r="V64" s="32" t="s">
        <v>16</v>
      </c>
      <c r="W64" s="32"/>
      <c r="X64" s="269" t="str">
        <f>F34</f>
        <v>PC3</v>
      </c>
      <c r="Y64" s="32"/>
      <c r="Z64" s="270"/>
      <c r="AA64" s="98"/>
      <c r="AB64" s="220"/>
    </row>
    <row r="65" spans="10:239" ht="15" customHeight="1" x14ac:dyDescent="0.2">
      <c r="K65" s="582"/>
      <c r="L65" s="88" t="s">
        <v>17</v>
      </c>
      <c r="M65" s="266">
        <f t="shared" ref="M65:S65" si="12">((M$32*HOR+M$33)*(MAX(PCCommercial,PCPolitical)/0.95)*LCF+M38*(PCCommercial/0.95)*HOR)*M$26*M$28*$F$29</f>
        <v>1.3448029736842109</v>
      </c>
      <c r="N65" s="266">
        <f t="shared" si="12"/>
        <v>2.5365623684210532</v>
      </c>
      <c r="O65" s="266">
        <f t="shared" si="12"/>
        <v>4.1315565789473681</v>
      </c>
      <c r="P65" s="266">
        <f t="shared" si="12"/>
        <v>6.2711940789473699</v>
      </c>
      <c r="Q65" s="266">
        <f t="shared" si="12"/>
        <v>8.7233589473684212</v>
      </c>
      <c r="R65" s="266">
        <f t="shared" si="12"/>
        <v>10.87645263157895</v>
      </c>
      <c r="S65" s="349">
        <f t="shared" si="12"/>
        <v>13.633863157894739</v>
      </c>
      <c r="T65" s="267"/>
      <c r="V65" s="32" t="s">
        <v>71</v>
      </c>
      <c r="W65" s="271">
        <f>HOR</f>
        <v>10.5</v>
      </c>
      <c r="X65" s="32"/>
      <c r="Y65" s="32"/>
      <c r="Z65" s="270"/>
      <c r="AA65" s="98"/>
      <c r="AB65" s="220"/>
    </row>
    <row r="66" spans="10:239" x14ac:dyDescent="0.2">
      <c r="K66" s="582"/>
      <c r="L66" s="88" t="s">
        <v>202</v>
      </c>
      <c r="M66" s="266">
        <f t="shared" ref="M66:S66" si="13">((M$32*HOR+M$33)*(MAX(PCCommercial,PCPolitical)/0.95)*LCF+M37*(PCCommercial/0.95)*HOR)*M$26*M$28</f>
        <v>1.222548157894737</v>
      </c>
      <c r="N66" s="266">
        <f t="shared" si="13"/>
        <v>2.3059657894736847</v>
      </c>
      <c r="O66" s="266">
        <f t="shared" si="13"/>
        <v>3.7559605263157891</v>
      </c>
      <c r="P66" s="266">
        <f t="shared" si="13"/>
        <v>5.70108552631579</v>
      </c>
      <c r="Q66" s="266">
        <f t="shared" si="13"/>
        <v>7.9303263157894737</v>
      </c>
      <c r="R66" s="266">
        <f t="shared" si="13"/>
        <v>9.8876842105263165</v>
      </c>
      <c r="S66" s="349">
        <f t="shared" si="13"/>
        <v>12.39442105263158</v>
      </c>
      <c r="T66" s="267"/>
      <c r="V66" s="32"/>
      <c r="W66" s="32"/>
      <c r="X66" s="32"/>
      <c r="Y66" s="32"/>
      <c r="Z66" s="270"/>
      <c r="AA66" s="98"/>
      <c r="AB66" s="220"/>
    </row>
    <row r="67" spans="10:239" x14ac:dyDescent="0.2">
      <c r="K67" s="582"/>
      <c r="L67" s="88" t="s">
        <v>203</v>
      </c>
      <c r="M67" s="266">
        <f t="shared" ref="M67:S68" si="14">((M$32*HOR+M$33)*(MAX(PCCommercial,PCPolitical)/0.95)*LCF+M39*(PCCommercial/0.95)*HOR)*M$26*M$28</f>
        <v>2.3129289473684209</v>
      </c>
      <c r="N67" s="266">
        <f t="shared" si="14"/>
        <v>3.4918910526315798</v>
      </c>
      <c r="O67" s="266">
        <f t="shared" si="14"/>
        <v>4.8337578947368414</v>
      </c>
      <c r="P67" s="266">
        <f t="shared" si="14"/>
        <v>6.6784144736842119</v>
      </c>
      <c r="Q67" s="266">
        <f t="shared" si="14"/>
        <v>8.9076552631578956</v>
      </c>
      <c r="R67" s="266">
        <f t="shared" si="14"/>
        <v>10.862526315789475</v>
      </c>
      <c r="S67" s="349">
        <f t="shared" si="14"/>
        <v>13.612973684210527</v>
      </c>
      <c r="T67" s="267"/>
      <c r="Z67" s="27"/>
      <c r="AA67" s="98"/>
      <c r="AB67" s="220"/>
    </row>
    <row r="68" spans="10:239" x14ac:dyDescent="0.2">
      <c r="K68" s="582"/>
      <c r="L68" s="88" t="s">
        <v>204</v>
      </c>
      <c r="M68" s="266">
        <f t="shared" si="14"/>
        <v>3.2050586842105266</v>
      </c>
      <c r="N68" s="266">
        <f t="shared" si="14"/>
        <v>4.4011004210526323</v>
      </c>
      <c r="O68" s="266">
        <f t="shared" si="14"/>
        <v>5.9409497368421054</v>
      </c>
      <c r="P68" s="266">
        <f t="shared" si="14"/>
        <v>7.9880352631578946</v>
      </c>
      <c r="Q68" s="266">
        <f t="shared" si="14"/>
        <v>10.334555526315789</v>
      </c>
      <c r="R68" s="266">
        <f t="shared" si="14"/>
        <v>12.402776842105265</v>
      </c>
      <c r="S68" s="349">
        <f t="shared" si="14"/>
        <v>15.036243157894738</v>
      </c>
      <c r="T68" s="267"/>
      <c r="Z68" s="27"/>
      <c r="AA68" s="98"/>
      <c r="AB68" s="220"/>
    </row>
    <row r="69" spans="10:239" ht="14.25" x14ac:dyDescent="0.2">
      <c r="K69" s="582"/>
      <c r="L69" s="88" t="s">
        <v>205</v>
      </c>
      <c r="M69" s="266">
        <f t="shared" ref="M69:R69" si="15">((M$32*HOR+M$33)*(MAX(PCCommercial,PCPolitical)/0.95)*LCF+M41*(PCCommercial/0.95)*HOR)*M$26*M$28</f>
        <v>3.8989373684210529</v>
      </c>
      <c r="N69" s="266">
        <f t="shared" si="15"/>
        <v>5.4684331578947374</v>
      </c>
      <c r="O69" s="266">
        <f t="shared" si="15"/>
        <v>6.8913710526315786</v>
      </c>
      <c r="P69" s="266">
        <f t="shared" si="15"/>
        <v>9.1217368421052623</v>
      </c>
      <c r="Q69" s="266">
        <f t="shared" si="15"/>
        <v>11.644176315789473</v>
      </c>
      <c r="R69" s="266">
        <f t="shared" si="15"/>
        <v>14.566926315789475</v>
      </c>
      <c r="S69" s="349" t="s">
        <v>21</v>
      </c>
      <c r="T69" s="267"/>
      <c r="V69" s="272"/>
      <c r="W69" s="35"/>
      <c r="X69" s="273"/>
      <c r="Z69" s="27"/>
      <c r="AA69" s="98"/>
      <c r="AB69" s="220"/>
    </row>
    <row r="70" spans="10:239" x14ac:dyDescent="0.2">
      <c r="K70" s="582"/>
      <c r="L70" s="88" t="s">
        <v>206</v>
      </c>
      <c r="M70" s="266">
        <f>((M$32*HOR+M$33)*(MAX(PCCommercial,PCPolitical)/0.95)*LCF+M42*(PCCommercial/0.95)*HOR)*M$26*M$28</f>
        <v>5.2371319736842112</v>
      </c>
      <c r="N70" s="266">
        <f>((N$32*HOR+N$33)*(MAX(PCCommercial,PCPolitical)/0.95)*LCF+N42*(PCCommercial/0.95)*HOR)*N$26*N$28</f>
        <v>6.8421299210526323</v>
      </c>
      <c r="O70" s="266">
        <f>((O$32*HOR+O$33)*(MAX(PCCommercial,PCPolitical)/0.95)*LCF+O42*(PCCommercial/0.95)*HOR)*O$26*O$28</f>
        <v>8.6060486842105259</v>
      </c>
      <c r="P70" s="266">
        <f>((P$32*HOR+P$33)*(MAX(PCCommercial,PCPolitical)/0.95)*LCF+P42*(PCCommercial/0.95)*HOR)*P$26*P$28</f>
        <v>10.978661842105264</v>
      </c>
      <c r="Q70" s="266">
        <f>((Q$32*HOR+Q$33)*(MAX(PCCommercial,PCPolitical)/0.95)*LCF+Q42*(PCCommercial/0.95)*HOR)*Q$26*Q$28</f>
        <v>13.99953907894737</v>
      </c>
      <c r="R70" s="266" t="s">
        <v>21</v>
      </c>
      <c r="S70" s="349" t="s">
        <v>21</v>
      </c>
      <c r="T70" s="267"/>
      <c r="Z70" s="27"/>
      <c r="AA70" s="98"/>
      <c r="AB70" s="220"/>
    </row>
    <row r="71" spans="10:239" ht="13.5" thickBot="1" x14ac:dyDescent="0.25">
      <c r="K71" s="583"/>
      <c r="L71" s="90" t="s">
        <v>207</v>
      </c>
      <c r="M71" s="274">
        <f>((M$32*HOR+M$33)*(MAX(PCCommercial,PCPolitical)/0.95)*LCF+M43*(PCCommercial/0.95)*HOR)*M$26*M$28</f>
        <v>7.4674563157894749</v>
      </c>
      <c r="N71" s="274">
        <f>((N$32*HOR+N$33)*(MAX(PCCommercial,PCPolitical)/0.95)*LCF+N43*(PCCommercial/0.95)*HOR)*N$26*N$28</f>
        <v>8.9767953947368451</v>
      </c>
      <c r="O71" s="274">
        <f>((O$32*HOR+O$33)*(MAX(PCCommercial,PCPolitical)/0.95)*LCF+O43*(PCCommercial/0.95)*HOR)*O$26*O$28</f>
        <v>10.810634210526317</v>
      </c>
      <c r="P71" s="274">
        <f>((P$32*HOR+P$33)*(MAX(PCCommercial,PCPolitical)/0.95)*LCF+P43*(PCCommercial/0.95)*HOR)*P$26*P$28</f>
        <v>13.617450000000003</v>
      </c>
      <c r="Q71" s="274" t="s">
        <v>21</v>
      </c>
      <c r="R71" s="274" t="s">
        <v>21</v>
      </c>
      <c r="S71" s="350" t="s">
        <v>21</v>
      </c>
      <c r="T71" s="267"/>
      <c r="W71" s="96" t="s">
        <v>24</v>
      </c>
      <c r="X71" s="351">
        <f>IF(X64="n.v.","n.v.",ROUND(VLOOKUP(X64,L75:S84,X63+1),4))</f>
        <v>6.8914</v>
      </c>
      <c r="Z71" s="275"/>
      <c r="AA71" s="98"/>
      <c r="AB71" s="220"/>
    </row>
    <row r="72" spans="10:239" x14ac:dyDescent="0.2">
      <c r="M72" s="27"/>
      <c r="Z72" s="27"/>
      <c r="AA72" s="98"/>
      <c r="AB72" s="220"/>
    </row>
    <row r="73" spans="10:239" s="94" customFormat="1" ht="13.5" thickBot="1" x14ac:dyDescent="0.25">
      <c r="J73" s="26"/>
      <c r="K73" s="27"/>
      <c r="L73" s="27"/>
      <c r="M73" s="32"/>
      <c r="N73" s="27"/>
      <c r="O73" s="27"/>
      <c r="P73" s="27"/>
      <c r="Q73" s="27"/>
      <c r="R73" s="27"/>
      <c r="S73" s="27"/>
      <c r="T73" s="27"/>
      <c r="U73" s="27"/>
      <c r="V73" s="27"/>
      <c r="W73" s="27"/>
      <c r="X73" s="27"/>
      <c r="Y73" s="27"/>
      <c r="Z73" s="27"/>
      <c r="AA73" s="98"/>
      <c r="AB73" s="220"/>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c r="DD73" s="27"/>
      <c r="DE73" s="27"/>
      <c r="DF73" s="27"/>
      <c r="DG73" s="27"/>
      <c r="DH73" s="27"/>
      <c r="DI73" s="27"/>
      <c r="DJ73" s="27"/>
      <c r="DK73" s="27"/>
      <c r="DL73" s="27"/>
      <c r="DM73" s="27"/>
      <c r="DN73" s="27"/>
      <c r="DO73" s="27"/>
      <c r="DP73" s="27"/>
      <c r="DQ73" s="27"/>
      <c r="DR73" s="27"/>
      <c r="DS73" s="27"/>
      <c r="DT73" s="27"/>
      <c r="DU73" s="27"/>
      <c r="DV73" s="27"/>
      <c r="DW73" s="27"/>
      <c r="DX73" s="27"/>
      <c r="DY73" s="27"/>
      <c r="DZ73" s="27"/>
      <c r="EA73" s="27"/>
      <c r="EB73" s="27"/>
      <c r="EC73" s="27"/>
      <c r="ED73" s="27"/>
      <c r="EE73" s="27"/>
      <c r="EF73" s="27"/>
      <c r="EG73" s="27"/>
      <c r="EH73" s="27"/>
      <c r="EI73" s="27"/>
      <c r="EJ73" s="27"/>
      <c r="EK73" s="27"/>
      <c r="EL73" s="27"/>
      <c r="EM73" s="27"/>
      <c r="EN73" s="27"/>
      <c r="EO73" s="27"/>
      <c r="EP73" s="27"/>
      <c r="EQ73" s="27"/>
      <c r="ER73" s="27"/>
      <c r="ES73" s="27"/>
      <c r="ET73" s="27"/>
      <c r="EU73" s="27"/>
      <c r="EV73" s="27"/>
      <c r="EW73" s="27"/>
      <c r="EX73" s="27"/>
      <c r="EY73" s="27"/>
      <c r="EZ73" s="27"/>
      <c r="FA73" s="27"/>
      <c r="FB73" s="27"/>
      <c r="FC73" s="27"/>
      <c r="FD73" s="27"/>
      <c r="FE73" s="27"/>
      <c r="FF73" s="27"/>
      <c r="FG73" s="27"/>
      <c r="FH73" s="27"/>
      <c r="FI73" s="27"/>
      <c r="FJ73" s="27"/>
      <c r="FK73" s="27"/>
      <c r="FL73" s="27"/>
      <c r="FM73" s="27"/>
      <c r="FN73" s="27"/>
      <c r="FO73" s="27"/>
      <c r="FP73" s="27"/>
      <c r="FQ73" s="27"/>
      <c r="FR73" s="27"/>
      <c r="FS73" s="27"/>
      <c r="FT73" s="27"/>
      <c r="FU73" s="27"/>
      <c r="FV73" s="27"/>
      <c r="FW73" s="27"/>
      <c r="FX73" s="27"/>
      <c r="FY73" s="27"/>
      <c r="FZ73" s="27"/>
      <c r="GA73" s="27"/>
      <c r="GB73" s="27"/>
      <c r="GC73" s="27"/>
      <c r="GD73" s="27"/>
      <c r="GE73" s="27"/>
      <c r="GF73" s="27"/>
      <c r="GG73" s="27"/>
      <c r="GH73" s="27"/>
      <c r="GI73" s="27"/>
      <c r="GJ73" s="27"/>
      <c r="GK73" s="27"/>
      <c r="GL73" s="27"/>
      <c r="GM73" s="27"/>
      <c r="GN73" s="27"/>
      <c r="GO73" s="27"/>
      <c r="GP73" s="27"/>
      <c r="GQ73" s="27"/>
      <c r="GR73" s="27"/>
      <c r="GS73" s="27"/>
      <c r="GT73" s="27"/>
      <c r="GU73" s="27"/>
      <c r="GV73" s="27"/>
      <c r="GW73" s="27"/>
      <c r="GX73" s="27"/>
      <c r="GY73" s="27"/>
      <c r="GZ73" s="27"/>
      <c r="HA73" s="27"/>
      <c r="HB73" s="27"/>
      <c r="HC73" s="27"/>
      <c r="HD73" s="27"/>
      <c r="HE73" s="27"/>
      <c r="HF73" s="27"/>
      <c r="HG73" s="27"/>
      <c r="HH73" s="27"/>
      <c r="HI73" s="27"/>
      <c r="HJ73" s="27"/>
      <c r="HK73" s="27"/>
      <c r="HL73" s="27"/>
      <c r="HM73" s="27"/>
      <c r="HN73" s="27"/>
      <c r="HO73" s="27"/>
      <c r="HP73" s="27"/>
      <c r="HQ73" s="27"/>
      <c r="HR73" s="27"/>
      <c r="HS73" s="27"/>
      <c r="HT73" s="27"/>
      <c r="HU73" s="27"/>
      <c r="HV73" s="27"/>
      <c r="HW73" s="27"/>
      <c r="HX73" s="27"/>
      <c r="HY73" s="27"/>
      <c r="HZ73" s="27"/>
      <c r="IA73" s="27"/>
      <c r="IB73" s="27"/>
      <c r="IC73" s="27"/>
      <c r="ID73" s="27"/>
      <c r="IE73" s="27"/>
    </row>
    <row r="74" spans="10:239" ht="13.5" thickBot="1" x14ac:dyDescent="0.25">
      <c r="K74" s="35"/>
      <c r="M74" s="27"/>
      <c r="Z74" s="27"/>
      <c r="AA74" s="98"/>
      <c r="AB74" s="220"/>
    </row>
    <row r="75" spans="10:239" ht="13.5" thickBot="1" x14ac:dyDescent="0.25">
      <c r="K75" s="95" t="s">
        <v>25</v>
      </c>
      <c r="L75" s="86" t="s">
        <v>13</v>
      </c>
      <c r="M75" s="82">
        <v>1</v>
      </c>
      <c r="N75" s="82">
        <v>2</v>
      </c>
      <c r="O75" s="82">
        <v>3</v>
      </c>
      <c r="P75" s="82">
        <v>4</v>
      </c>
      <c r="Q75" s="82">
        <v>5</v>
      </c>
      <c r="R75" s="82">
        <v>6</v>
      </c>
      <c r="S75" s="83">
        <v>7</v>
      </c>
      <c r="T75" s="64"/>
      <c r="U75" s="35"/>
      <c r="V75" s="32" t="s">
        <v>14</v>
      </c>
      <c r="W75" s="32"/>
      <c r="X75" s="194">
        <f>X63</f>
        <v>3</v>
      </c>
      <c r="Y75" s="32"/>
      <c r="Z75" s="32"/>
      <c r="AA75" s="194"/>
      <c r="AB75" s="220"/>
    </row>
    <row r="76" spans="10:239" ht="13.5" thickBot="1" x14ac:dyDescent="0.25">
      <c r="K76" s="581" t="str">
        <f>K63</f>
        <v>OECD-Prämiensystem 
≥ 2 Jahre, mit CE</v>
      </c>
      <c r="L76" s="85" t="s">
        <v>202</v>
      </c>
      <c r="M76" s="276">
        <f t="shared" ref="M76:S78" si="16">M66</f>
        <v>1.222548157894737</v>
      </c>
      <c r="N76" s="276">
        <f t="shared" si="16"/>
        <v>2.3059657894736847</v>
      </c>
      <c r="O76" s="276">
        <f t="shared" si="16"/>
        <v>3.7559605263157891</v>
      </c>
      <c r="P76" s="276">
        <f t="shared" si="16"/>
        <v>5.70108552631579</v>
      </c>
      <c r="Q76" s="276">
        <f t="shared" si="16"/>
        <v>7.9303263157894737</v>
      </c>
      <c r="R76" s="276">
        <f t="shared" si="16"/>
        <v>9.8876842105263165</v>
      </c>
      <c r="S76" s="277">
        <f t="shared" si="16"/>
        <v>12.39442105263158</v>
      </c>
      <c r="T76" s="267"/>
      <c r="V76" s="32" t="s">
        <v>16</v>
      </c>
      <c r="W76" s="32"/>
      <c r="X76" s="269" t="str">
        <f>X64</f>
        <v>PC3</v>
      </c>
      <c r="Y76" s="32"/>
      <c r="Z76" s="32"/>
      <c r="AA76" s="269"/>
      <c r="AB76" s="220"/>
    </row>
    <row r="77" spans="10:239" x14ac:dyDescent="0.2">
      <c r="K77" s="582"/>
      <c r="L77" s="88" t="s">
        <v>203</v>
      </c>
      <c r="M77" s="255">
        <f t="shared" si="16"/>
        <v>2.3129289473684209</v>
      </c>
      <c r="N77" s="255">
        <f t="shared" si="16"/>
        <v>3.4918910526315798</v>
      </c>
      <c r="O77" s="255">
        <f t="shared" si="16"/>
        <v>4.8337578947368414</v>
      </c>
      <c r="P77" s="255">
        <f t="shared" si="16"/>
        <v>6.6784144736842119</v>
      </c>
      <c r="Q77" s="255">
        <f t="shared" si="16"/>
        <v>8.9076552631578956</v>
      </c>
      <c r="R77" s="255">
        <f t="shared" si="16"/>
        <v>10.862526315789475</v>
      </c>
      <c r="S77" s="256">
        <f t="shared" si="16"/>
        <v>13.612973684210527</v>
      </c>
      <c r="T77" s="267"/>
      <c r="V77" s="32" t="s">
        <v>71</v>
      </c>
      <c r="W77" s="271">
        <f>HOR</f>
        <v>10.5</v>
      </c>
      <c r="X77" s="32"/>
      <c r="Y77" s="32"/>
      <c r="Z77" s="271"/>
      <c r="AA77" s="32"/>
      <c r="AB77" s="220"/>
    </row>
    <row r="78" spans="10:239" x14ac:dyDescent="0.2">
      <c r="K78" s="582"/>
      <c r="L78" s="88" t="s">
        <v>204</v>
      </c>
      <c r="M78" s="255">
        <f t="shared" si="16"/>
        <v>3.2050586842105266</v>
      </c>
      <c r="N78" s="255">
        <f t="shared" si="16"/>
        <v>4.4011004210526323</v>
      </c>
      <c r="O78" s="255">
        <f t="shared" si="16"/>
        <v>5.9409497368421054</v>
      </c>
      <c r="P78" s="255">
        <f t="shared" si="16"/>
        <v>7.9880352631578946</v>
      </c>
      <c r="Q78" s="255">
        <f t="shared" si="16"/>
        <v>10.334555526315789</v>
      </c>
      <c r="R78" s="255">
        <f t="shared" si="16"/>
        <v>12.402776842105265</v>
      </c>
      <c r="S78" s="256">
        <f t="shared" si="16"/>
        <v>15.036243157894738</v>
      </c>
      <c r="T78" s="267"/>
      <c r="V78" s="32" t="s">
        <v>133</v>
      </c>
      <c r="W78" s="32">
        <f>W66</f>
        <v>0</v>
      </c>
      <c r="X78" s="32"/>
      <c r="Y78" s="32"/>
      <c r="Z78" s="32"/>
      <c r="AA78" s="32"/>
      <c r="AB78" s="220"/>
    </row>
    <row r="79" spans="10:239" x14ac:dyDescent="0.2">
      <c r="K79" s="582"/>
      <c r="L79" s="88" t="s">
        <v>205</v>
      </c>
      <c r="M79" s="255">
        <f t="shared" ref="M79:R79" si="17">M69</f>
        <v>3.8989373684210529</v>
      </c>
      <c r="N79" s="255">
        <f t="shared" si="17"/>
        <v>5.4684331578947374</v>
      </c>
      <c r="O79" s="255">
        <f t="shared" si="17"/>
        <v>6.8913710526315786</v>
      </c>
      <c r="P79" s="255">
        <f t="shared" si="17"/>
        <v>9.1217368421052623</v>
      </c>
      <c r="Q79" s="255">
        <f t="shared" si="17"/>
        <v>11.644176315789473</v>
      </c>
      <c r="R79" s="255">
        <f t="shared" si="17"/>
        <v>14.566926315789475</v>
      </c>
      <c r="S79" s="256" t="s">
        <v>21</v>
      </c>
      <c r="T79" s="267"/>
      <c r="Z79" s="27"/>
      <c r="AB79" s="220"/>
    </row>
    <row r="80" spans="10:239" x14ac:dyDescent="0.2">
      <c r="K80" s="582"/>
      <c r="L80" s="88" t="s">
        <v>206</v>
      </c>
      <c r="M80" s="255">
        <f>M70</f>
        <v>5.2371319736842112</v>
      </c>
      <c r="N80" s="255">
        <f>N70</f>
        <v>6.8421299210526323</v>
      </c>
      <c r="O80" s="255">
        <f>O70</f>
        <v>8.6060486842105259</v>
      </c>
      <c r="P80" s="255">
        <f>P70</f>
        <v>10.978661842105264</v>
      </c>
      <c r="Q80" s="255">
        <f>Q70</f>
        <v>13.99953907894737</v>
      </c>
      <c r="R80" s="255" t="s">
        <v>21</v>
      </c>
      <c r="S80" s="256" t="s">
        <v>21</v>
      </c>
      <c r="T80" s="267"/>
      <c r="Z80" s="27"/>
      <c r="AB80" s="220"/>
    </row>
    <row r="81" spans="1:239" ht="14.25" x14ac:dyDescent="0.2">
      <c r="K81" s="582"/>
      <c r="L81" s="88" t="s">
        <v>207</v>
      </c>
      <c r="M81" s="255">
        <f>M71</f>
        <v>7.4674563157894749</v>
      </c>
      <c r="N81" s="255">
        <f>N71</f>
        <v>8.9767953947368451</v>
      </c>
      <c r="O81" s="255">
        <f>O71</f>
        <v>10.810634210526317</v>
      </c>
      <c r="P81" s="255">
        <f>P71</f>
        <v>13.617450000000003</v>
      </c>
      <c r="Q81" s="255" t="s">
        <v>21</v>
      </c>
      <c r="R81" s="255" t="s">
        <v>21</v>
      </c>
      <c r="S81" s="256" t="s">
        <v>21</v>
      </c>
      <c r="T81" s="267"/>
      <c r="V81" s="272"/>
      <c r="W81" s="35"/>
      <c r="X81" s="273"/>
      <c r="Y81" s="272"/>
      <c r="Z81" s="35"/>
      <c r="AA81" s="273"/>
      <c r="AB81" s="220"/>
    </row>
    <row r="82" spans="1:239" x14ac:dyDescent="0.2">
      <c r="K82" s="582"/>
      <c r="L82" s="88" t="s">
        <v>15</v>
      </c>
      <c r="M82" s="255">
        <f t="shared" ref="M82:S83" si="18">M64</f>
        <v>1.222548157894737</v>
      </c>
      <c r="N82" s="255">
        <f t="shared" si="18"/>
        <v>2.3059657894736847</v>
      </c>
      <c r="O82" s="255">
        <f t="shared" si="18"/>
        <v>3.7559605263157891</v>
      </c>
      <c r="P82" s="255">
        <f t="shared" si="18"/>
        <v>5.70108552631579</v>
      </c>
      <c r="Q82" s="255">
        <f t="shared" si="18"/>
        <v>7.9303263157894737</v>
      </c>
      <c r="R82" s="255">
        <f t="shared" si="18"/>
        <v>9.8876842105263165</v>
      </c>
      <c r="S82" s="256">
        <f t="shared" si="18"/>
        <v>12.39442105263158</v>
      </c>
      <c r="T82" s="267"/>
      <c r="Z82" s="27"/>
      <c r="AB82" s="220"/>
    </row>
    <row r="83" spans="1:239" x14ac:dyDescent="0.2">
      <c r="K83" s="582"/>
      <c r="L83" s="88" t="s">
        <v>17</v>
      </c>
      <c r="M83" s="255">
        <f t="shared" si="18"/>
        <v>1.3448029736842109</v>
      </c>
      <c r="N83" s="255">
        <f t="shared" si="18"/>
        <v>2.5365623684210532</v>
      </c>
      <c r="O83" s="255">
        <f t="shared" si="18"/>
        <v>4.1315565789473681</v>
      </c>
      <c r="P83" s="255">
        <f t="shared" si="18"/>
        <v>6.2711940789473699</v>
      </c>
      <c r="Q83" s="255">
        <f t="shared" si="18"/>
        <v>8.7233589473684212</v>
      </c>
      <c r="R83" s="255">
        <f t="shared" si="18"/>
        <v>10.87645263157895</v>
      </c>
      <c r="S83" s="256">
        <f t="shared" si="18"/>
        <v>13.633863157894739</v>
      </c>
      <c r="T83" s="267"/>
      <c r="W83" s="96" t="s">
        <v>24</v>
      </c>
      <c r="X83" s="32">
        <f>IF(X64="n.v.","n.v.",ROUND(VLOOKUP(X64,L75:S84,X63+1),4))</f>
        <v>6.8914</v>
      </c>
      <c r="Z83" s="96"/>
      <c r="AA83" s="32"/>
      <c r="AB83" s="220"/>
    </row>
    <row r="84" spans="1:239" ht="13.5" thickBot="1" x14ac:dyDescent="0.25">
      <c r="J84" s="93"/>
      <c r="K84" s="583"/>
      <c r="L84" s="90" t="s">
        <v>7</v>
      </c>
      <c r="M84" s="263">
        <f t="shared" ref="M84:S84" si="19">M63</f>
        <v>1.1002933421052634</v>
      </c>
      <c r="N84" s="263">
        <f t="shared" si="19"/>
        <v>2.0753692105263162</v>
      </c>
      <c r="O84" s="263">
        <f t="shared" si="19"/>
        <v>3.3803644736842102</v>
      </c>
      <c r="P84" s="263">
        <f t="shared" si="19"/>
        <v>5.130976973684211</v>
      </c>
      <c r="Q84" s="263">
        <f t="shared" si="19"/>
        <v>7.1372936842105261</v>
      </c>
      <c r="R84" s="263">
        <f t="shared" si="19"/>
        <v>8.8989157894736852</v>
      </c>
      <c r="S84" s="278">
        <f t="shared" si="19"/>
        <v>11.154978947368422</v>
      </c>
      <c r="T84" s="267"/>
      <c r="Z84" s="27"/>
      <c r="AA84" s="98"/>
      <c r="AB84" s="220"/>
    </row>
    <row r="85" spans="1:239" s="279" customFormat="1" x14ac:dyDescent="0.2">
      <c r="A85" s="37"/>
      <c r="B85" s="37"/>
      <c r="C85" s="37"/>
      <c r="D85" s="37"/>
      <c r="E85" s="37"/>
      <c r="F85" s="37"/>
      <c r="G85" s="37"/>
      <c r="H85" s="37"/>
      <c r="I85" s="37"/>
      <c r="J85" s="26"/>
      <c r="K85" s="27"/>
      <c r="L85" s="27"/>
      <c r="M85" s="27"/>
      <c r="N85" s="27"/>
      <c r="O85" s="27"/>
      <c r="P85" s="27"/>
      <c r="Q85" s="27"/>
      <c r="R85" s="27"/>
      <c r="S85" s="27"/>
      <c r="T85" s="27"/>
      <c r="U85" s="27"/>
      <c r="V85" s="27"/>
      <c r="W85" s="27"/>
      <c r="X85" s="27"/>
      <c r="Y85" s="27"/>
      <c r="Z85" s="27"/>
      <c r="AA85" s="98"/>
      <c r="AB85" s="220"/>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27"/>
      <c r="DM85" s="27"/>
      <c r="DN85" s="27"/>
      <c r="DO85" s="27"/>
      <c r="DP85" s="27"/>
      <c r="DQ85" s="27"/>
      <c r="DR85" s="27"/>
      <c r="DS85" s="27"/>
      <c r="DT85" s="27"/>
      <c r="DU85" s="27"/>
      <c r="DV85" s="27"/>
      <c r="DW85" s="27"/>
      <c r="DX85" s="27"/>
      <c r="DY85" s="27"/>
      <c r="DZ85" s="27"/>
      <c r="EA85" s="27"/>
      <c r="EB85" s="27"/>
      <c r="EC85" s="27"/>
      <c r="ED85" s="27"/>
      <c r="EE85" s="27"/>
      <c r="EF85" s="27"/>
      <c r="EG85" s="27"/>
      <c r="EH85" s="27"/>
      <c r="EI85" s="27"/>
      <c r="EJ85" s="27"/>
      <c r="EK85" s="27"/>
      <c r="EL85" s="27"/>
      <c r="EM85" s="27"/>
      <c r="EN85" s="27"/>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7"/>
      <c r="FR85" s="27"/>
      <c r="FS85" s="27"/>
      <c r="FT85" s="27"/>
      <c r="FU85" s="27"/>
      <c r="FV85" s="27"/>
      <c r="FW85" s="27"/>
      <c r="FX85" s="27"/>
      <c r="FY85" s="27"/>
      <c r="FZ85" s="27"/>
      <c r="GA85" s="27"/>
      <c r="GB85" s="27"/>
      <c r="GC85" s="27"/>
      <c r="GD85" s="27"/>
      <c r="GE85" s="27"/>
      <c r="GF85" s="27"/>
      <c r="GG85" s="27"/>
      <c r="GH85" s="27"/>
      <c r="GI85" s="27"/>
      <c r="GJ85" s="27"/>
      <c r="GK85" s="27"/>
      <c r="GL85" s="27"/>
      <c r="GM85" s="27"/>
      <c r="GN85" s="27"/>
      <c r="GO85" s="27"/>
      <c r="GP85" s="27"/>
      <c r="GQ85" s="27"/>
      <c r="GR85" s="27"/>
      <c r="GS85" s="27"/>
      <c r="GT85" s="27"/>
      <c r="GU85" s="27"/>
      <c r="GV85" s="27"/>
      <c r="GW85" s="27"/>
      <c r="GX85" s="27"/>
      <c r="GY85" s="27"/>
      <c r="GZ85" s="27"/>
      <c r="HA85" s="27"/>
      <c r="HB85" s="27"/>
      <c r="HC85" s="27"/>
      <c r="HD85" s="27"/>
      <c r="HE85" s="27"/>
      <c r="HF85" s="27"/>
      <c r="HG85" s="27"/>
      <c r="HH85" s="27"/>
      <c r="HI85" s="27"/>
      <c r="HJ85" s="27"/>
      <c r="HK85" s="27"/>
      <c r="HL85" s="27"/>
      <c r="HM85" s="27"/>
      <c r="HN85" s="27"/>
      <c r="HO85" s="27"/>
      <c r="HP85" s="27"/>
      <c r="HQ85" s="27"/>
      <c r="HR85" s="27"/>
      <c r="HS85" s="27"/>
      <c r="HT85" s="27"/>
      <c r="HU85" s="27"/>
      <c r="HV85" s="27"/>
      <c r="HW85" s="27"/>
      <c r="HX85" s="27"/>
      <c r="HY85" s="27"/>
      <c r="HZ85" s="27"/>
      <c r="IA85" s="27"/>
      <c r="IB85" s="27"/>
      <c r="IC85" s="27"/>
      <c r="ID85" s="27"/>
      <c r="IE85" s="27"/>
    </row>
    <row r="86" spans="1:239" ht="15" customHeight="1" thickBot="1" x14ac:dyDescent="0.25">
      <c r="A86" s="27"/>
      <c r="B86" s="27"/>
      <c r="C86" s="27"/>
      <c r="D86" s="27"/>
      <c r="E86" s="27"/>
      <c r="F86" s="27"/>
      <c r="G86" s="27"/>
      <c r="H86" s="27"/>
      <c r="I86" s="27"/>
      <c r="K86" s="32" t="s">
        <v>179</v>
      </c>
      <c r="L86" s="32"/>
      <c r="M86" s="64"/>
      <c r="N86" s="64"/>
      <c r="O86" s="64"/>
      <c r="P86" s="64"/>
      <c r="Q86" s="64"/>
      <c r="R86" s="64"/>
      <c r="S86" s="64"/>
      <c r="T86" s="64"/>
      <c r="U86" s="64"/>
      <c r="V86" s="64"/>
      <c r="W86" s="64"/>
      <c r="X86" s="64"/>
      <c r="Y86" s="64"/>
      <c r="Z86" s="64"/>
      <c r="AA86" s="254"/>
      <c r="AB86" s="220"/>
    </row>
    <row r="87" spans="1:239" ht="13.5" thickBot="1" x14ac:dyDescent="0.25">
      <c r="A87" s="27"/>
      <c r="B87" s="27"/>
      <c r="C87" s="27"/>
      <c r="D87" s="27"/>
      <c r="E87" s="27"/>
      <c r="F87" s="27"/>
      <c r="G87" s="27"/>
      <c r="H87" s="27"/>
      <c r="I87" s="27"/>
      <c r="K87" s="5"/>
      <c r="L87" s="81" t="s">
        <v>13</v>
      </c>
      <c r="M87" s="82">
        <v>1</v>
      </c>
      <c r="N87" s="82">
        <v>2</v>
      </c>
      <c r="O87" s="82">
        <v>3</v>
      </c>
      <c r="P87" s="82">
        <v>4</v>
      </c>
      <c r="Q87" s="82">
        <v>5</v>
      </c>
      <c r="R87" s="82">
        <v>6</v>
      </c>
      <c r="S87" s="83">
        <v>7</v>
      </c>
      <c r="T87" s="64"/>
      <c r="U87" s="64"/>
      <c r="V87" s="96"/>
      <c r="W87" s="64"/>
      <c r="X87" s="64"/>
      <c r="Y87" s="64"/>
      <c r="Z87" s="64"/>
      <c r="AA87" s="254"/>
      <c r="AB87" s="220"/>
    </row>
    <row r="88" spans="1:239" x14ac:dyDescent="0.2">
      <c r="A88" s="27"/>
      <c r="B88" s="27"/>
      <c r="C88" s="27"/>
      <c r="D88" s="27"/>
      <c r="E88" s="27"/>
      <c r="F88" s="27"/>
      <c r="G88" s="27"/>
      <c r="H88" s="27"/>
      <c r="I88" s="27"/>
      <c r="K88" s="581" t="s">
        <v>142</v>
      </c>
      <c r="L88" s="85" t="s">
        <v>202</v>
      </c>
      <c r="M88" s="255" t="e">
        <f>$U$37*HOR_ABR+$U$33</f>
        <v>#REF!</v>
      </c>
      <c r="N88" s="255" t="e">
        <f>$V$37*HOR_ABR+$V$33</f>
        <v>#REF!</v>
      </c>
      <c r="O88" s="255" t="e">
        <f>$W$37*HOR_ABR+$W$33</f>
        <v>#REF!</v>
      </c>
      <c r="P88" s="255" t="e">
        <f>$X$37*HOR_ABR+$X$33</f>
        <v>#REF!</v>
      </c>
      <c r="Q88" s="255" t="e">
        <f>$Y$37*HOR_ABR+$Y$33</f>
        <v>#REF!</v>
      </c>
      <c r="R88" s="255" t="e">
        <f>$Z$37*HOR_ABR+$Z$33</f>
        <v>#REF!</v>
      </c>
      <c r="S88" s="256" t="e">
        <f>$AA$37*HOR_ABR+$AA$33</f>
        <v>#REF!</v>
      </c>
      <c r="T88" s="64"/>
      <c r="U88" s="64"/>
      <c r="V88" s="96" t="s">
        <v>127</v>
      </c>
      <c r="W88" s="257" t="e">
        <f>#REF!</f>
        <v>#REF!</v>
      </c>
      <c r="X88" s="64" t="e">
        <f>#REF!</f>
        <v>#REF!</v>
      </c>
      <c r="Y88" s="258" t="e">
        <f>IF(OR(RLZ=0,X88="n.v."),0,ROUND(VLOOKUP(X88,L87:S96,W88+1),4))</f>
        <v>#REF!</v>
      </c>
      <c r="Z88" s="64"/>
      <c r="AA88" s="254"/>
      <c r="AB88" s="220"/>
    </row>
    <row r="89" spans="1:239" x14ac:dyDescent="0.2">
      <c r="B89" s="27"/>
      <c r="C89" s="27"/>
      <c r="D89" s="27"/>
      <c r="E89" s="27"/>
      <c r="F89" s="27"/>
      <c r="G89" s="27"/>
      <c r="H89" s="27"/>
      <c r="K89" s="582"/>
      <c r="L89" s="88" t="s">
        <v>203</v>
      </c>
      <c r="M89" s="259" t="e">
        <f>$U$39*HOR_ABR+$U$33</f>
        <v>#REF!</v>
      </c>
      <c r="N89" s="259" t="e">
        <f>$V$39*HOR_ABR+$V$33</f>
        <v>#REF!</v>
      </c>
      <c r="O89" s="259" t="e">
        <f>$W$39*HOR_ABR+$W$33</f>
        <v>#REF!</v>
      </c>
      <c r="P89" s="259" t="e">
        <f>$X$39*HOR_ABR+$X$33</f>
        <v>#REF!</v>
      </c>
      <c r="Q89" s="259" t="e">
        <f>$Y$39*HOR_ABR+$Y$33</f>
        <v>#REF!</v>
      </c>
      <c r="R89" s="259" t="e">
        <f>$Z$39*HOR_ABR+$Z$33</f>
        <v>#REF!</v>
      </c>
      <c r="S89" s="256" t="e">
        <f>$AA$39*HOR_ABR+$AA$33</f>
        <v>#REF!</v>
      </c>
      <c r="T89" s="64"/>
      <c r="U89" s="64"/>
      <c r="V89" s="96" t="s">
        <v>127</v>
      </c>
      <c r="W89" s="257" t="e">
        <f>W88</f>
        <v>#REF!</v>
      </c>
      <c r="X89" s="64" t="s">
        <v>10</v>
      </c>
      <c r="Y89" s="258" t="e">
        <f>ROUND(VLOOKUP(X89,L88:S97,W89+1),4)</f>
        <v>#REF!</v>
      </c>
      <c r="Z89" s="64"/>
      <c r="AA89" s="254"/>
      <c r="AB89" s="220"/>
    </row>
    <row r="90" spans="1:239" x14ac:dyDescent="0.2">
      <c r="A90" s="40"/>
      <c r="I90" s="40"/>
      <c r="K90" s="582"/>
      <c r="L90" s="88" t="s">
        <v>204</v>
      </c>
      <c r="M90" s="259" t="e">
        <f>$U$40*HOR_ABR+$U$33</f>
        <v>#REF!</v>
      </c>
      <c r="N90" s="259" t="e">
        <f>$V$40*HOR_ABR+$V$33</f>
        <v>#REF!</v>
      </c>
      <c r="O90" s="259" t="e">
        <f>$W$40*HOR_ABR+$W$33</f>
        <v>#REF!</v>
      </c>
      <c r="P90" s="259" t="e">
        <f>$X$40*HOR_ABR+$X$33</f>
        <v>#REF!</v>
      </c>
      <c r="Q90" s="259" t="e">
        <f>$Y$40*HOR_ABR+$Y$33</f>
        <v>#REF!</v>
      </c>
      <c r="R90" s="259" t="e">
        <f>$Z$40*HOR_ABR+$Z$33</f>
        <v>#REF!</v>
      </c>
      <c r="S90" s="256" t="e">
        <f>$AA$40*HOR_ABR+$AA$33</f>
        <v>#REF!</v>
      </c>
      <c r="T90" s="64"/>
      <c r="U90" s="64"/>
      <c r="V90" s="64" t="s">
        <v>128</v>
      </c>
      <c r="W90" s="64"/>
      <c r="X90" s="64"/>
      <c r="Y90" s="258" t="e">
        <f>Y88-Y89</f>
        <v>#REF!</v>
      </c>
      <c r="Z90" s="64"/>
      <c r="AA90" s="254"/>
      <c r="AB90" s="220"/>
    </row>
    <row r="91" spans="1:239" ht="16.899999999999999" customHeight="1" x14ac:dyDescent="0.2">
      <c r="B91" s="40"/>
      <c r="C91" s="40"/>
      <c r="D91" s="40"/>
      <c r="E91" s="40"/>
      <c r="F91" s="40"/>
      <c r="G91" s="40"/>
      <c r="H91" s="40"/>
      <c r="K91" s="582"/>
      <c r="L91" s="88" t="s">
        <v>205</v>
      </c>
      <c r="M91" s="259" t="e">
        <f>$U$41*HOR_ABR+$U$33</f>
        <v>#REF!</v>
      </c>
      <c r="N91" s="259" t="e">
        <f>$V$41*HOR_ABR+$V$33</f>
        <v>#REF!</v>
      </c>
      <c r="O91" s="259" t="e">
        <f>$W$41*HOR_ABR+$W$33</f>
        <v>#REF!</v>
      </c>
      <c r="P91" s="259" t="e">
        <f>$X$41*HOR_ABR+$X$33</f>
        <v>#REF!</v>
      </c>
      <c r="Q91" s="259" t="e">
        <f>$Y$41*HOR_ABR+$Y$33</f>
        <v>#REF!</v>
      </c>
      <c r="R91" s="259" t="e">
        <f>$Z$41*HOR_ABR+$Z$33</f>
        <v>#REF!</v>
      </c>
      <c r="S91" s="256" t="s">
        <v>21</v>
      </c>
      <c r="T91" s="64"/>
      <c r="U91" s="64"/>
      <c r="V91" s="96" t="s">
        <v>129</v>
      </c>
      <c r="W91" s="262">
        <f>CE</f>
        <v>0</v>
      </c>
      <c r="X91" s="64"/>
      <c r="Y91" s="258" t="e">
        <f>ROUNDDOWN(Y90*W91,2)</f>
        <v>#REF!</v>
      </c>
      <c r="Z91" s="64"/>
      <c r="AA91" s="254"/>
      <c r="AB91" s="220"/>
    </row>
    <row r="92" spans="1:239" ht="16.149999999999999" customHeight="1" x14ac:dyDescent="0.2">
      <c r="A92" s="40"/>
      <c r="I92" s="40"/>
      <c r="K92" s="582"/>
      <c r="L92" s="88" t="s">
        <v>206</v>
      </c>
      <c r="M92" s="259" t="e">
        <f>$U$42*HOR_ABR+$U$33</f>
        <v>#REF!</v>
      </c>
      <c r="N92" s="259" t="e">
        <f>$V$42*HOR_ABR+$V$33</f>
        <v>#REF!</v>
      </c>
      <c r="O92" s="259" t="e">
        <f>$W$42*HOR_ABR+$W$33</f>
        <v>#REF!</v>
      </c>
      <c r="P92" s="259" t="e">
        <f>$X$42*HOR_ABR+$X$33</f>
        <v>#REF!</v>
      </c>
      <c r="Q92" s="259" t="e">
        <f>$Y$42*HOR_ABR+$Y$33</f>
        <v>#REF!</v>
      </c>
      <c r="R92" s="259" t="s">
        <v>21</v>
      </c>
      <c r="S92" s="256" t="s">
        <v>21</v>
      </c>
      <c r="T92" s="64"/>
      <c r="U92" s="64"/>
      <c r="V92" s="96" t="s">
        <v>130</v>
      </c>
      <c r="W92" s="257" t="e">
        <f>W88</f>
        <v>#REF!</v>
      </c>
      <c r="X92" s="64" t="e">
        <f>X88</f>
        <v>#REF!</v>
      </c>
      <c r="Y92" s="258" t="e">
        <f>Y88-Y91</f>
        <v>#REF!</v>
      </c>
      <c r="Z92" s="64"/>
      <c r="AA92" s="254"/>
      <c r="AB92" s="220"/>
    </row>
    <row r="93" spans="1:239" x14ac:dyDescent="0.2">
      <c r="A93" s="40"/>
      <c r="B93" s="40"/>
      <c r="C93" s="40"/>
      <c r="D93" s="40"/>
      <c r="E93" s="40"/>
      <c r="F93" s="40"/>
      <c r="G93" s="40"/>
      <c r="H93" s="40"/>
      <c r="I93" s="40"/>
      <c r="K93" s="582"/>
      <c r="L93" s="88" t="s">
        <v>207</v>
      </c>
      <c r="M93" s="259" t="e">
        <f>$U$43*HOR_ABR+$U$33</f>
        <v>#REF!</v>
      </c>
      <c r="N93" s="259" t="e">
        <f>$V$43*HOR_ABR+$V$33</f>
        <v>#REF!</v>
      </c>
      <c r="O93" s="259" t="e">
        <f>$W$43*HOR_ABR+$W$33</f>
        <v>#REF!</v>
      </c>
      <c r="P93" s="259" t="e">
        <f>$X$43*HOR_ABR+$X$33</f>
        <v>#REF!</v>
      </c>
      <c r="Q93" s="259" t="s">
        <v>21</v>
      </c>
      <c r="R93" s="259" t="s">
        <v>21</v>
      </c>
      <c r="S93" s="256" t="s">
        <v>21</v>
      </c>
      <c r="T93" s="64"/>
      <c r="U93" s="64"/>
      <c r="V93" s="32" t="s">
        <v>71</v>
      </c>
      <c r="W93" s="271" t="e">
        <f>#REF!</f>
        <v>#REF!</v>
      </c>
      <c r="X93" s="64"/>
      <c r="Y93" s="258"/>
      <c r="Z93" s="64"/>
      <c r="AA93" s="254"/>
      <c r="AB93" s="220"/>
    </row>
    <row r="94" spans="1:239" x14ac:dyDescent="0.2">
      <c r="B94" s="40"/>
      <c r="C94" s="40"/>
      <c r="D94" s="40"/>
      <c r="E94" s="40"/>
      <c r="F94" s="40"/>
      <c r="G94" s="40"/>
      <c r="H94" s="40"/>
      <c r="K94" s="582"/>
      <c r="L94" s="88" t="s">
        <v>15</v>
      </c>
      <c r="M94" s="255" t="e">
        <f>$U$37*HOR_ABR+$U$33</f>
        <v>#REF!</v>
      </c>
      <c r="N94" s="255" t="e">
        <f>$V$37*HOR_ABR+$V$33</f>
        <v>#REF!</v>
      </c>
      <c r="O94" s="255" t="e">
        <f>$W$37*HOR_ABR+$W$33</f>
        <v>#REF!</v>
      </c>
      <c r="P94" s="255" t="e">
        <f>$X$37*HOR_ABR+$X$33</f>
        <v>#REF!</v>
      </c>
      <c r="Q94" s="255" t="e">
        <f>$Y$37*HOR_ABR+$Y$33</f>
        <v>#REF!</v>
      </c>
      <c r="R94" s="255" t="e">
        <f>$Z$37*HOR_ABR+$Z$33</f>
        <v>#REF!</v>
      </c>
      <c r="S94" s="256" t="e">
        <f>$AA$37*HOR_ABR+$AA$33</f>
        <v>#REF!</v>
      </c>
      <c r="T94" s="64"/>
      <c r="U94" s="64"/>
      <c r="V94" s="64"/>
      <c r="W94" s="64"/>
      <c r="X94" s="64"/>
      <c r="Y94" s="258"/>
      <c r="Z94" s="64"/>
      <c r="AA94" s="254"/>
      <c r="AB94" s="220"/>
    </row>
    <row r="95" spans="1:239" x14ac:dyDescent="0.2">
      <c r="K95" s="582"/>
      <c r="L95" s="88" t="s">
        <v>17</v>
      </c>
      <c r="M95" s="255" t="e">
        <f>$U$38*HOR_ABR+$U$34</f>
        <v>#REF!</v>
      </c>
      <c r="N95" s="255" t="e">
        <f>$V$38*HOR_ABR+$V$34</f>
        <v>#REF!</v>
      </c>
      <c r="O95" s="255" t="e">
        <f>$W$38*HOR_ABR+$W$34</f>
        <v>#REF!</v>
      </c>
      <c r="P95" s="255" t="e">
        <f>$X$38*HOR_ABR+$X$34</f>
        <v>#REF!</v>
      </c>
      <c r="Q95" s="255" t="e">
        <f>$Y$38*HOR_ABR+$Y$34</f>
        <v>#REF!</v>
      </c>
      <c r="R95" s="255" t="e">
        <f>$Z$38*HOR_ABR+$Z$34</f>
        <v>#REF!</v>
      </c>
      <c r="S95" s="256" t="e">
        <f>$AA$38*HOR_ABR+$AA$34</f>
        <v>#REF!</v>
      </c>
      <c r="T95" s="64"/>
      <c r="U95" s="64"/>
      <c r="V95" s="64"/>
      <c r="W95" s="64"/>
      <c r="X95" s="64"/>
      <c r="Y95" s="64"/>
      <c r="Z95" s="64"/>
      <c r="AA95" s="254"/>
      <c r="AB95" s="220"/>
    </row>
    <row r="96" spans="1:239" ht="13.5" thickBot="1" x14ac:dyDescent="0.25">
      <c r="K96" s="583"/>
      <c r="L96" s="90" t="s">
        <v>7</v>
      </c>
      <c r="M96" s="263" t="e">
        <f>$U$36*HOR_ABR+$U$32</f>
        <v>#REF!</v>
      </c>
      <c r="N96" s="263" t="e">
        <f>$V$36*HOR_ABR+$V$32</f>
        <v>#REF!</v>
      </c>
      <c r="O96" s="263" t="e">
        <f>$W$36*HOR_ABR+$W$32</f>
        <v>#REF!</v>
      </c>
      <c r="P96" s="263" t="e">
        <f>$X$36*HOR_ABR+$X$32</f>
        <v>#REF!</v>
      </c>
      <c r="Q96" s="263" t="e">
        <f>$Y$36*HOR_ABR+$Y$32</f>
        <v>#REF!</v>
      </c>
      <c r="R96" s="263" t="e">
        <f>$Z$36*HOR_ABR+$Z$32</f>
        <v>#REF!</v>
      </c>
      <c r="S96" s="263" t="e">
        <f>$AA$36*HOR_ABR+$AA$32</f>
        <v>#REF!</v>
      </c>
      <c r="T96" s="64"/>
      <c r="U96" s="64"/>
      <c r="V96" s="64"/>
      <c r="W96" s="64"/>
      <c r="X96" s="64"/>
      <c r="Y96" s="64"/>
      <c r="Z96" s="64"/>
      <c r="AA96" s="254"/>
      <c r="AB96" s="220"/>
    </row>
    <row r="97" spans="11:28" x14ac:dyDescent="0.2">
      <c r="M97" s="27"/>
      <c r="Z97" s="27"/>
      <c r="AA97" s="98"/>
      <c r="AB97" s="220"/>
    </row>
    <row r="98" spans="11:28" ht="13.9" customHeight="1" thickBot="1" x14ac:dyDescent="0.25">
      <c r="K98" s="94"/>
      <c r="L98" s="94"/>
      <c r="M98" s="94"/>
      <c r="N98" s="94"/>
      <c r="O98" s="94"/>
      <c r="P98" s="94"/>
      <c r="Q98" s="94"/>
      <c r="R98" s="94"/>
      <c r="S98" s="94"/>
      <c r="T98" s="280"/>
      <c r="U98" s="94"/>
      <c r="V98" s="94"/>
      <c r="W98" s="94"/>
      <c r="X98" s="94"/>
      <c r="Y98" s="94"/>
      <c r="Z98" s="94"/>
      <c r="AA98" s="92"/>
      <c r="AB98" s="220"/>
    </row>
    <row r="99" spans="11:28" ht="15.75" thickBot="1" x14ac:dyDescent="0.25">
      <c r="K99" s="30"/>
      <c r="L99" s="6"/>
      <c r="M99" s="7">
        <v>1</v>
      </c>
      <c r="N99" s="7"/>
      <c r="O99" s="7">
        <v>2</v>
      </c>
      <c r="P99" s="7"/>
      <c r="Q99" s="7">
        <v>3</v>
      </c>
      <c r="R99" s="7"/>
      <c r="S99" s="7">
        <v>4</v>
      </c>
      <c r="T99" s="7"/>
      <c r="U99" s="7">
        <v>5</v>
      </c>
      <c r="V99" s="7"/>
      <c r="W99" s="7">
        <v>6</v>
      </c>
      <c r="X99" s="7"/>
      <c r="Y99" s="7">
        <v>7</v>
      </c>
      <c r="Z99" s="7"/>
      <c r="AA99" s="89"/>
      <c r="AB99" s="220"/>
    </row>
    <row r="100" spans="11:28" ht="15" customHeight="1" thickTop="1" x14ac:dyDescent="0.25">
      <c r="K100" s="573" t="s">
        <v>6</v>
      </c>
      <c r="L100" s="8" t="s">
        <v>7</v>
      </c>
      <c r="M100" s="10">
        <f>ROUND(M101*$F$28,4)</f>
        <v>8.6E-3</v>
      </c>
      <c r="N100" s="11">
        <f>ROUND(N101*$F$28,2)</f>
        <v>0.27</v>
      </c>
      <c r="O100" s="10">
        <f>ROUND(O101*$F$28,4)</f>
        <v>9.1999999999999998E-3</v>
      </c>
      <c r="P100" s="11">
        <f>ROUND(P101*$F$28,2)</f>
        <v>0.45</v>
      </c>
      <c r="Q100" s="10">
        <f>ROUND(Q101*$F$28,4)</f>
        <v>1.2500000000000001E-2</v>
      </c>
      <c r="R100" s="11">
        <f>ROUND(R101*$F$28,2)</f>
        <v>0.63</v>
      </c>
      <c r="S100" s="10">
        <f>ROUND(S101*$F$28,4)</f>
        <v>1.9699999999999999E-2</v>
      </c>
      <c r="T100" s="11">
        <f>ROUND(T101*$F$28,2)</f>
        <v>0.81</v>
      </c>
      <c r="U100" s="10">
        <f>ROUND(U101*$F$28,4)</f>
        <v>3.3399999999999999E-2</v>
      </c>
      <c r="V100" s="11">
        <f>ROUND(V101*$F$28,2)</f>
        <v>1.17</v>
      </c>
      <c r="W100" s="10">
        <f>ROUND(W101*$F$28,4)</f>
        <v>4.65E-2</v>
      </c>
      <c r="X100" s="11">
        <f>ROUND(X101*$F$28,2)</f>
        <v>1.53</v>
      </c>
      <c r="Y100" s="10">
        <f>ROUND(Y101*$F$28,4)</f>
        <v>6.8199999999999997E-2</v>
      </c>
      <c r="Z100" s="11">
        <f>ROUND(Z101*$F$28,2)</f>
        <v>1.89</v>
      </c>
      <c r="AA100" s="89"/>
      <c r="AB100" s="220"/>
    </row>
    <row r="101" spans="11:28" ht="13.9" customHeight="1" x14ac:dyDescent="0.25">
      <c r="K101" s="574"/>
      <c r="L101" s="9" t="s">
        <v>8</v>
      </c>
      <c r="M101" s="10">
        <f>ROUND(0.00950604166666667,4)</f>
        <v>9.4999999999999998E-3</v>
      </c>
      <c r="N101" s="11">
        <v>0.3</v>
      </c>
      <c r="O101" s="10">
        <f>ROUND(0.0102135416666667,4)</f>
        <v>1.0200000000000001E-2</v>
      </c>
      <c r="P101" s="11">
        <v>0.5</v>
      </c>
      <c r="Q101" s="10">
        <f>ROUND(0.0139270833333333,4)</f>
        <v>1.3899999999999999E-2</v>
      </c>
      <c r="R101" s="11">
        <v>0.7</v>
      </c>
      <c r="S101" s="10">
        <f>ROUND(0.021859375,4)</f>
        <v>2.1899999999999999E-2</v>
      </c>
      <c r="T101" s="11">
        <v>0.9</v>
      </c>
      <c r="U101" s="10">
        <f>ROUND(0.0371239583333333,4)</f>
        <v>3.7100000000000001E-2</v>
      </c>
      <c r="V101" s="11">
        <v>1.3</v>
      </c>
      <c r="W101" s="10">
        <f>ROUND(0.0516666666666667,4)</f>
        <v>5.1700000000000003E-2</v>
      </c>
      <c r="X101" s="11">
        <v>1.7</v>
      </c>
      <c r="Y101" s="10">
        <f>ROUND(0.0758333333333333,4)</f>
        <v>7.5800000000000006E-2</v>
      </c>
      <c r="Z101" s="11">
        <v>2.1</v>
      </c>
      <c r="AA101" s="89"/>
      <c r="AB101" s="220"/>
    </row>
    <row r="102" spans="11:28" ht="15" x14ac:dyDescent="0.25">
      <c r="K102" s="574"/>
      <c r="L102" s="9" t="s">
        <v>9</v>
      </c>
      <c r="M102" s="10">
        <f>ROUND(M101*$F$29,4)</f>
        <v>1.0500000000000001E-2</v>
      </c>
      <c r="N102" s="11">
        <f>ROUNDUP(N101*$F$29,4)</f>
        <v>0.33</v>
      </c>
      <c r="O102" s="10">
        <f>ROUND(O101*$F$29,4)</f>
        <v>1.12E-2</v>
      </c>
      <c r="P102" s="11">
        <f t="shared" ref="P102:Z102" si="20">ROUNDUP(P101*$F$29,4)</f>
        <v>0.55000000000000004</v>
      </c>
      <c r="Q102" s="10">
        <f>ROUND(Q101*$F$29,4)</f>
        <v>1.5299999999999999E-2</v>
      </c>
      <c r="R102" s="11">
        <f t="shared" si="20"/>
        <v>0.77</v>
      </c>
      <c r="S102" s="10">
        <f>ROUND(S101*$F$29,4)</f>
        <v>2.41E-2</v>
      </c>
      <c r="T102" s="11">
        <f t="shared" si="20"/>
        <v>0.99</v>
      </c>
      <c r="U102" s="10">
        <f>ROUNDUP(U101*$F$29,4)</f>
        <v>4.0900000000000006E-2</v>
      </c>
      <c r="V102" s="11">
        <f t="shared" si="20"/>
        <v>1.43</v>
      </c>
      <c r="W102" s="10">
        <f>ROUND(W101*$F$29,4)</f>
        <v>5.6899999999999999E-2</v>
      </c>
      <c r="X102" s="11">
        <f t="shared" si="20"/>
        <v>1.87</v>
      </c>
      <c r="Y102" s="10">
        <f>ROUND(Y101*$F$29,4)</f>
        <v>8.3400000000000002E-2</v>
      </c>
      <c r="Z102" s="11">
        <f t="shared" si="20"/>
        <v>2.31</v>
      </c>
      <c r="AA102" s="89"/>
      <c r="AB102" s="220"/>
    </row>
    <row r="103" spans="11:28" ht="15" x14ac:dyDescent="0.25">
      <c r="K103" s="574"/>
      <c r="L103" s="9" t="s">
        <v>202</v>
      </c>
      <c r="M103" s="10">
        <f t="shared" ref="M103:Z103" si="21">M101</f>
        <v>9.4999999999999998E-3</v>
      </c>
      <c r="N103" s="11">
        <f t="shared" si="21"/>
        <v>0.3</v>
      </c>
      <c r="O103" s="10">
        <f t="shared" si="21"/>
        <v>1.0200000000000001E-2</v>
      </c>
      <c r="P103" s="11">
        <f t="shared" si="21"/>
        <v>0.5</v>
      </c>
      <c r="Q103" s="10">
        <f t="shared" si="21"/>
        <v>1.3899999999999999E-2</v>
      </c>
      <c r="R103" s="11">
        <f t="shared" si="21"/>
        <v>0.7</v>
      </c>
      <c r="S103" s="10">
        <f t="shared" si="21"/>
        <v>2.1899999999999999E-2</v>
      </c>
      <c r="T103" s="11">
        <f t="shared" si="21"/>
        <v>0.9</v>
      </c>
      <c r="U103" s="10">
        <f>U101</f>
        <v>3.7100000000000001E-2</v>
      </c>
      <c r="V103" s="11">
        <f>V101</f>
        <v>1.3</v>
      </c>
      <c r="W103" s="10">
        <f t="shared" si="21"/>
        <v>5.1700000000000003E-2</v>
      </c>
      <c r="X103" s="11">
        <f t="shared" si="21"/>
        <v>1.7</v>
      </c>
      <c r="Y103" s="10">
        <f t="shared" si="21"/>
        <v>7.5800000000000006E-2</v>
      </c>
      <c r="Z103" s="11">
        <f t="shared" si="21"/>
        <v>2.1</v>
      </c>
      <c r="AA103" s="89"/>
      <c r="AB103" s="220"/>
    </row>
    <row r="104" spans="11:28" ht="15" x14ac:dyDescent="0.25">
      <c r="K104" s="574"/>
      <c r="L104" s="9" t="s">
        <v>209</v>
      </c>
      <c r="M104" s="10">
        <f>ROUND(0.0164739583333333,4)</f>
        <v>1.6500000000000001E-2</v>
      </c>
      <c r="N104" s="11">
        <v>0.35199999999999998</v>
      </c>
      <c r="O104" s="10">
        <f>ROUND(0.017981875,4)</f>
        <v>1.7999999999999999E-2</v>
      </c>
      <c r="P104" s="11">
        <v>0.55200000000000005</v>
      </c>
      <c r="Q104" s="10">
        <f>ROUND(0.0207895833333333,4)</f>
        <v>2.0799999999999999E-2</v>
      </c>
      <c r="R104" s="11">
        <v>0.752</v>
      </c>
      <c r="S104" s="10">
        <f>ROUND(0.0278802083333333,4)</f>
        <v>2.7900000000000001E-2</v>
      </c>
      <c r="T104" s="11">
        <v>0.95199999999999996</v>
      </c>
      <c r="U104" s="10">
        <f>ROUND(0.042603125,4)</f>
        <v>4.2599999999999999E-2</v>
      </c>
      <c r="V104" s="11">
        <v>1.365</v>
      </c>
      <c r="W104" s="10">
        <f>ROUND(0.0562222222222222,4)</f>
        <v>5.62E-2</v>
      </c>
      <c r="X104" s="11">
        <v>1.7866666666666666</v>
      </c>
      <c r="Y104" s="10">
        <f>ROUND(0.080625,4)</f>
        <v>8.0600000000000005E-2</v>
      </c>
      <c r="Z104" s="11">
        <v>2.23</v>
      </c>
      <c r="AA104" s="89"/>
      <c r="AB104" s="220"/>
    </row>
    <row r="105" spans="11:28" ht="15" x14ac:dyDescent="0.25">
      <c r="K105" s="574"/>
      <c r="L105" s="9" t="s">
        <v>210</v>
      </c>
      <c r="M105" s="10">
        <f>ROUND(0.0217810416666667,4)</f>
        <v>2.18E-2</v>
      </c>
      <c r="N105" s="11">
        <v>0.40399999999999997</v>
      </c>
      <c r="O105" s="10">
        <f>ROUND(0.0234320416666667,4)</f>
        <v>2.3400000000000001E-2</v>
      </c>
      <c r="P105" s="11">
        <v>0.60399999999999998</v>
      </c>
      <c r="Q105" s="10">
        <f>ROUND(0.0278983333333333,4)</f>
        <v>2.7900000000000001E-2</v>
      </c>
      <c r="R105" s="11">
        <v>0.80399999999999994</v>
      </c>
      <c r="S105" s="10">
        <f>ROUND(0.0366847916666667,4)</f>
        <v>3.6700000000000003E-2</v>
      </c>
      <c r="T105" s="11">
        <v>1.004</v>
      </c>
      <c r="U105" s="10">
        <f>ROUND(0.0518485416666666,4)</f>
        <v>5.1799999999999999E-2</v>
      </c>
      <c r="V105" s="11">
        <v>1.43</v>
      </c>
      <c r="W105" s="10">
        <f>ROUND(0.0655144444444444,4)</f>
        <v>6.5500000000000003E-2</v>
      </c>
      <c r="X105" s="11">
        <v>1.8733333333333333</v>
      </c>
      <c r="Y105" s="10">
        <f>ROUND(0.0871316666666666,4)</f>
        <v>8.7099999999999997E-2</v>
      </c>
      <c r="Z105" s="11">
        <v>2.36</v>
      </c>
      <c r="AA105" s="89"/>
      <c r="AB105" s="220"/>
    </row>
    <row r="106" spans="11:28" ht="15" x14ac:dyDescent="0.25">
      <c r="K106" s="574"/>
      <c r="L106" s="9" t="s">
        <v>211</v>
      </c>
      <c r="M106" s="10">
        <f>ROUND(0.0254272916666667,4)</f>
        <v>2.5399999999999999E-2</v>
      </c>
      <c r="N106" s="11">
        <v>0.45599999999999996</v>
      </c>
      <c r="O106" s="10">
        <f>ROUND(0.030206875,4)</f>
        <v>3.0200000000000001E-2</v>
      </c>
      <c r="P106" s="11">
        <v>0.65600000000000003</v>
      </c>
      <c r="Q106" s="10">
        <f>ROUND(0.03369375,4)</f>
        <v>3.3700000000000001E-2</v>
      </c>
      <c r="R106" s="11">
        <v>0.85599999999999998</v>
      </c>
      <c r="S106" s="10">
        <f>ROUND(0.044015625,4)</f>
        <v>4.3999999999999997E-2</v>
      </c>
      <c r="T106" s="11">
        <v>1.056</v>
      </c>
      <c r="U106" s="10">
        <f>ROUND(0.0601114583333333,4)</f>
        <v>6.0100000000000001E-2</v>
      </c>
      <c r="V106" s="11">
        <v>1.4950000000000001</v>
      </c>
      <c r="W106" s="10">
        <f>ROUND(0.0800333333333333,4)</f>
        <v>0.08</v>
      </c>
      <c r="X106" s="11">
        <v>1.96</v>
      </c>
      <c r="Y106" s="10"/>
      <c r="Z106" s="11"/>
      <c r="AA106" s="89"/>
      <c r="AB106" s="220"/>
    </row>
    <row r="107" spans="11:28" ht="15" x14ac:dyDescent="0.25">
      <c r="K107" s="574"/>
      <c r="L107" s="9" t="s">
        <v>212</v>
      </c>
      <c r="M107" s="10">
        <f>ROUND(0.03447125,4)</f>
        <v>3.4500000000000003E-2</v>
      </c>
      <c r="N107" s="11">
        <v>0.50800000000000001</v>
      </c>
      <c r="O107" s="10">
        <f>ROUND(0.03954825,4)</f>
        <v>3.95E-2</v>
      </c>
      <c r="P107" s="11">
        <v>0.70799999999999996</v>
      </c>
      <c r="Q107" s="10">
        <f>ROUND(0.0458916666666666,4)</f>
        <v>4.5900000000000003E-2</v>
      </c>
      <c r="R107" s="11">
        <v>0.90799999999999992</v>
      </c>
      <c r="S107" s="10">
        <f>ROUND(0.0574052083333334,4)</f>
        <v>5.74E-2</v>
      </c>
      <c r="T107" s="11">
        <v>1.1079999999999999</v>
      </c>
      <c r="U107" s="10">
        <f>ROUND(0.077135,4)</f>
        <v>7.7100000000000002E-2</v>
      </c>
      <c r="V107" s="11">
        <v>1.56</v>
      </c>
      <c r="W107" s="10"/>
      <c r="X107" s="11"/>
      <c r="Y107" s="10"/>
      <c r="Z107" s="11"/>
      <c r="AA107" s="89"/>
      <c r="AB107" s="220"/>
    </row>
    <row r="108" spans="11:28" ht="15" customHeight="1" thickBot="1" x14ac:dyDescent="0.3">
      <c r="K108" s="575"/>
      <c r="L108" s="12" t="s">
        <v>213</v>
      </c>
      <c r="M108" s="13">
        <f>ROUND(0.0509889583333333,4)</f>
        <v>5.0999999999999997E-2</v>
      </c>
      <c r="N108" s="14">
        <v>0.56000000000000005</v>
      </c>
      <c r="O108" s="13">
        <f>ROUND(0.0552645833333334,4)</f>
        <v>5.5300000000000002E-2</v>
      </c>
      <c r="P108" s="14">
        <v>0.76</v>
      </c>
      <c r="Q108" s="13">
        <f>ROUND(0.06219375,4)</f>
        <v>6.2199999999999998E-2</v>
      </c>
      <c r="R108" s="14">
        <v>0.96</v>
      </c>
      <c r="S108" s="13">
        <f>ROUND(0.0773447916666667,4)</f>
        <v>7.7299999999999994E-2</v>
      </c>
      <c r="T108" s="14">
        <v>1.1599999999999999</v>
      </c>
      <c r="U108" s="13"/>
      <c r="V108" s="14"/>
      <c r="W108" s="13"/>
      <c r="X108" s="14"/>
      <c r="Y108" s="13"/>
      <c r="Z108" s="14"/>
      <c r="AA108" s="89"/>
      <c r="AB108" s="220"/>
    </row>
    <row r="109" spans="11:28" ht="13.15" customHeight="1" x14ac:dyDescent="0.2">
      <c r="M109" s="27"/>
      <c r="AA109" s="29"/>
      <c r="AB109" s="220"/>
    </row>
    <row r="110" spans="11:28" x14ac:dyDescent="0.2">
      <c r="M110" s="27"/>
      <c r="AA110" s="29"/>
      <c r="AB110" s="220"/>
    </row>
    <row r="111" spans="11:28" ht="13.9" customHeight="1" x14ac:dyDescent="0.2">
      <c r="K111" s="32" t="s">
        <v>11</v>
      </c>
      <c r="M111" s="27"/>
      <c r="AA111" s="29"/>
      <c r="AB111" s="220"/>
    </row>
    <row r="112" spans="11:28" ht="13.5" thickBot="1" x14ac:dyDescent="0.25">
      <c r="K112" s="32" t="s">
        <v>12</v>
      </c>
      <c r="M112" s="27"/>
      <c r="AA112" s="29"/>
      <c r="AB112" s="220"/>
    </row>
    <row r="113" spans="11:28" ht="13.5" thickBot="1" x14ac:dyDescent="0.25">
      <c r="K113" s="30"/>
      <c r="L113" s="19" t="s">
        <v>13</v>
      </c>
      <c r="M113" s="15">
        <v>1</v>
      </c>
      <c r="N113" s="15">
        <v>2</v>
      </c>
      <c r="O113" s="15">
        <v>3</v>
      </c>
      <c r="P113" s="15">
        <v>4</v>
      </c>
      <c r="Q113" s="15">
        <v>5</v>
      </c>
      <c r="R113" s="15">
        <v>6</v>
      </c>
      <c r="S113" s="16">
        <v>7</v>
      </c>
      <c r="T113" s="64"/>
      <c r="U113" s="35"/>
      <c r="Y113" s="282" t="s">
        <v>27</v>
      </c>
      <c r="Z113" s="283"/>
      <c r="AA113" s="29"/>
      <c r="AB113" s="220"/>
    </row>
    <row r="114" spans="11:28" ht="13.5" thickBot="1" x14ac:dyDescent="0.25">
      <c r="K114" s="573" t="s">
        <v>134</v>
      </c>
      <c r="L114" s="17" t="s">
        <v>7</v>
      </c>
      <c r="M114" s="284" t="e">
        <f>ROUND(ROUND($M$100,4)*_RLZ1+ROUND($N$100,4),24)</f>
        <v>#REF!</v>
      </c>
      <c r="N114" s="21" t="e">
        <f>ROUND(ROUND($O$100,4)*_RLZ1+ROUND($P$100,2),2)</f>
        <v>#REF!</v>
      </c>
      <c r="O114" s="21" t="e">
        <f>ROUND(ROUND($Q$100,4)*_RLZ1+ROUND($R$100,2),2)</f>
        <v>#REF!</v>
      </c>
      <c r="P114" s="21" t="e">
        <f t="shared" ref="P114:P122" si="22">ROUND(ROUND($S100,4)*_RLZ1+ROUND($T100,2),2)</f>
        <v>#REF!</v>
      </c>
      <c r="Q114" s="21" t="e">
        <f t="shared" ref="Q114:Q121" si="23">ROUND(ROUND($U100,4)*_RLZ1+ROUND($V100,2),2)</f>
        <v>#REF!</v>
      </c>
      <c r="R114" s="21" t="e">
        <f t="shared" ref="R114:R120" si="24">ROUND(ROUND($W100,4)*_RLZ1+ROUND($X100,2),2)</f>
        <v>#REF!</v>
      </c>
      <c r="S114" s="22" t="e">
        <f t="shared" ref="S114:S119" si="25">ROUND(ROUND($Y100,4)*_RLZ1+ROUND($Z100,2),2)</f>
        <v>#REF!</v>
      </c>
      <c r="T114" s="267"/>
      <c r="U114" s="43" t="s">
        <v>26</v>
      </c>
      <c r="V114" s="43" t="s">
        <v>14</v>
      </c>
      <c r="W114" s="43"/>
      <c r="X114" s="261" t="e">
        <f>#REF!</f>
        <v>#REF!</v>
      </c>
      <c r="Y114" s="42" t="e">
        <f>#REF!</f>
        <v>#REF!</v>
      </c>
      <c r="Z114" s="285" t="s">
        <v>28</v>
      </c>
      <c r="AA114" s="29"/>
      <c r="AB114" s="220"/>
    </row>
    <row r="115" spans="11:28" ht="13.5" thickBot="1" x14ac:dyDescent="0.25">
      <c r="K115" s="574"/>
      <c r="L115" s="20" t="s">
        <v>15</v>
      </c>
      <c r="M115" s="284" t="e">
        <f>ROUND(ROUND($M$101,4)*_RLZ1+ROUND($N$101,2),2)</f>
        <v>#REF!</v>
      </c>
      <c r="N115" s="21" t="e">
        <f>ROUND(ROUND($O$101,4)*_RLZ1+ROUND($P$101,2),2)</f>
        <v>#REF!</v>
      </c>
      <c r="O115" s="21" t="e">
        <f>ROUND(ROUND($Q$101,4)*_RLZ1+ROUND($R$101,2),2)</f>
        <v>#REF!</v>
      </c>
      <c r="P115" s="21" t="e">
        <f t="shared" si="22"/>
        <v>#REF!</v>
      </c>
      <c r="Q115" s="21" t="e">
        <f t="shared" si="23"/>
        <v>#REF!</v>
      </c>
      <c r="R115" s="21" t="e">
        <f t="shared" si="24"/>
        <v>#REF!</v>
      </c>
      <c r="S115" s="22" t="e">
        <f t="shared" si="25"/>
        <v>#REF!</v>
      </c>
      <c r="T115" s="267"/>
      <c r="U115" s="286" t="e">
        <f>CE_1</f>
        <v>#REF!</v>
      </c>
      <c r="V115" s="32" t="s">
        <v>16</v>
      </c>
      <c r="W115" s="32"/>
      <c r="X115" s="269" t="e">
        <f>#REF!</f>
        <v>#REF!</v>
      </c>
      <c r="Y115" s="32" t="s">
        <v>29</v>
      </c>
      <c r="Z115" s="287" t="e">
        <f>IF(X115="n.v.","n.v.",Y122)</f>
        <v>#REF!</v>
      </c>
      <c r="AA115" s="29"/>
      <c r="AB115" s="220"/>
    </row>
    <row r="116" spans="11:28" x14ac:dyDescent="0.2">
      <c r="K116" s="574"/>
      <c r="L116" s="20" t="s">
        <v>17</v>
      </c>
      <c r="M116" s="284" t="e">
        <f>ROUND(ROUND($M$102,4)*_RLZ1+ROUND($N$102,2),2)</f>
        <v>#REF!</v>
      </c>
      <c r="N116" s="21" t="e">
        <f>ROUND(ROUND($O$102,4)*_RLZ1+ROUND($P$102,2),2)</f>
        <v>#REF!</v>
      </c>
      <c r="O116" s="21" t="e">
        <f>ROUND(ROUND($Q$102,4)*_RLZ1+ROUND($R$102,2),2)</f>
        <v>#REF!</v>
      </c>
      <c r="P116" s="21" t="e">
        <f t="shared" si="22"/>
        <v>#REF!</v>
      </c>
      <c r="Q116" s="21" t="e">
        <f t="shared" si="23"/>
        <v>#REF!</v>
      </c>
      <c r="R116" s="21" t="e">
        <f t="shared" si="24"/>
        <v>#REF!</v>
      </c>
      <c r="S116" s="22" t="e">
        <f t="shared" si="25"/>
        <v>#REF!</v>
      </c>
      <c r="T116" s="267"/>
      <c r="AA116" s="29"/>
      <c r="AB116" s="220"/>
    </row>
    <row r="117" spans="11:28" ht="13.15" customHeight="1" x14ac:dyDescent="0.2">
      <c r="K117" s="574"/>
      <c r="L117" s="20" t="s">
        <v>202</v>
      </c>
      <c r="M117" s="284" t="e">
        <f t="shared" ref="M117:M122" si="26">ROUND(ROUND($M103,4)*_RLZ1+ROUND($N103,2),2)</f>
        <v>#REF!</v>
      </c>
      <c r="N117" s="21" t="e">
        <f t="shared" ref="N117:N122" si="27">ROUND(ROUND(O103,4)*_RLZ1+ROUND(P103,2),2)</f>
        <v>#REF!</v>
      </c>
      <c r="O117" s="21" t="e">
        <f t="shared" ref="O117:O122" si="28">ROUND(ROUND(Q103,4)*_RLZ1+ROUND(R103,2),2)</f>
        <v>#REF!</v>
      </c>
      <c r="P117" s="21" t="e">
        <f t="shared" si="22"/>
        <v>#REF!</v>
      </c>
      <c r="Q117" s="21" t="e">
        <f t="shared" si="23"/>
        <v>#REF!</v>
      </c>
      <c r="R117" s="21" t="e">
        <f t="shared" si="24"/>
        <v>#REF!</v>
      </c>
      <c r="S117" s="22" t="e">
        <f t="shared" si="25"/>
        <v>#REF!</v>
      </c>
      <c r="T117" s="267"/>
      <c r="U117" s="64"/>
      <c r="V117" s="96" t="s">
        <v>126</v>
      </c>
      <c r="W117" s="64"/>
      <c r="X117" s="64"/>
      <c r="Y117" s="64"/>
      <c r="AA117" s="29"/>
      <c r="AB117" s="220"/>
    </row>
    <row r="118" spans="11:28" ht="12.75" customHeight="1" x14ac:dyDescent="0.2">
      <c r="K118" s="574"/>
      <c r="L118" s="20" t="s">
        <v>203</v>
      </c>
      <c r="M118" s="284" t="e">
        <f t="shared" si="26"/>
        <v>#REF!</v>
      </c>
      <c r="N118" s="21" t="e">
        <f t="shared" si="27"/>
        <v>#REF!</v>
      </c>
      <c r="O118" s="21" t="e">
        <f t="shared" si="28"/>
        <v>#REF!</v>
      </c>
      <c r="P118" s="21" t="e">
        <f t="shared" si="22"/>
        <v>#REF!</v>
      </c>
      <c r="Q118" s="21" t="e">
        <f t="shared" si="23"/>
        <v>#REF!</v>
      </c>
      <c r="R118" s="21" t="e">
        <f t="shared" si="24"/>
        <v>#REF!</v>
      </c>
      <c r="S118" s="22" t="e">
        <f t="shared" si="25"/>
        <v>#REF!</v>
      </c>
      <c r="T118" s="267"/>
      <c r="U118" s="64"/>
      <c r="V118" s="96" t="s">
        <v>127</v>
      </c>
      <c r="W118" s="257" t="e">
        <f>X114</f>
        <v>#REF!</v>
      </c>
      <c r="X118" s="64" t="e">
        <f>X115</f>
        <v>#REF!</v>
      </c>
      <c r="Y118" s="257" t="e">
        <f>IF(X118="n.v.","n.v.",ROUND(VLOOKUP(X118,L125:S134,W118+1),2))</f>
        <v>#REF!</v>
      </c>
      <c r="AA118" s="29"/>
      <c r="AB118" s="220"/>
    </row>
    <row r="119" spans="11:28" ht="13.15" customHeight="1" thickBot="1" x14ac:dyDescent="0.25">
      <c r="K119" s="574"/>
      <c r="L119" s="23" t="s">
        <v>204</v>
      </c>
      <c r="M119" s="284" t="e">
        <f t="shared" si="26"/>
        <v>#REF!</v>
      </c>
      <c r="N119" s="21" t="e">
        <f t="shared" si="27"/>
        <v>#REF!</v>
      </c>
      <c r="O119" s="21" t="e">
        <f t="shared" si="28"/>
        <v>#REF!</v>
      </c>
      <c r="P119" s="21" t="e">
        <f t="shared" si="22"/>
        <v>#REF!</v>
      </c>
      <c r="Q119" s="21" t="e">
        <f t="shared" si="23"/>
        <v>#REF!</v>
      </c>
      <c r="R119" s="21" t="e">
        <f t="shared" si="24"/>
        <v>#REF!</v>
      </c>
      <c r="S119" s="22" t="e">
        <f t="shared" si="25"/>
        <v>#REF!</v>
      </c>
      <c r="T119" s="267"/>
      <c r="U119" s="64"/>
      <c r="V119" s="96" t="s">
        <v>127</v>
      </c>
      <c r="W119" s="257" t="e">
        <f>W118</f>
        <v>#REF!</v>
      </c>
      <c r="X119" s="64" t="s">
        <v>10</v>
      </c>
      <c r="Y119" s="257" t="e">
        <f>ROUND(VLOOKUP(X119,$L$113:$S$122,W119+1),2)</f>
        <v>#REF!</v>
      </c>
      <c r="AA119" s="29"/>
      <c r="AB119" s="220"/>
    </row>
    <row r="120" spans="11:28" ht="12.75" customHeight="1" x14ac:dyDescent="0.2">
      <c r="K120" s="574"/>
      <c r="L120" s="34" t="s">
        <v>205</v>
      </c>
      <c r="M120" s="284" t="e">
        <f t="shared" si="26"/>
        <v>#REF!</v>
      </c>
      <c r="N120" s="21" t="e">
        <f t="shared" si="27"/>
        <v>#REF!</v>
      </c>
      <c r="O120" s="21" t="e">
        <f t="shared" si="28"/>
        <v>#REF!</v>
      </c>
      <c r="P120" s="21" t="e">
        <f t="shared" si="22"/>
        <v>#REF!</v>
      </c>
      <c r="Q120" s="21" t="e">
        <f t="shared" si="23"/>
        <v>#REF!</v>
      </c>
      <c r="R120" s="21" t="e">
        <f t="shared" si="24"/>
        <v>#REF!</v>
      </c>
      <c r="S120" s="22" t="s">
        <v>21</v>
      </c>
      <c r="T120" s="267"/>
      <c r="U120" s="64"/>
      <c r="V120" s="64" t="s">
        <v>128</v>
      </c>
      <c r="W120" s="64"/>
      <c r="X120" s="64"/>
      <c r="Y120" s="257" t="e">
        <f>Y118-Y119</f>
        <v>#REF!</v>
      </c>
      <c r="AA120" s="29"/>
      <c r="AB120" s="220"/>
    </row>
    <row r="121" spans="11:28" ht="12.75" customHeight="1" x14ac:dyDescent="0.2">
      <c r="K121" s="574"/>
      <c r="L121" s="20" t="s">
        <v>206</v>
      </c>
      <c r="M121" s="284" t="e">
        <f t="shared" si="26"/>
        <v>#REF!</v>
      </c>
      <c r="N121" s="21" t="e">
        <f t="shared" si="27"/>
        <v>#REF!</v>
      </c>
      <c r="O121" s="21" t="e">
        <f t="shared" si="28"/>
        <v>#REF!</v>
      </c>
      <c r="P121" s="21" t="e">
        <f t="shared" si="22"/>
        <v>#REF!</v>
      </c>
      <c r="Q121" s="21" t="e">
        <f t="shared" si="23"/>
        <v>#REF!</v>
      </c>
      <c r="R121" s="21" t="s">
        <v>21</v>
      </c>
      <c r="S121" s="22" t="s">
        <v>21</v>
      </c>
      <c r="T121" s="267"/>
      <c r="U121" s="64"/>
      <c r="V121" s="96" t="s">
        <v>129</v>
      </c>
      <c r="W121" s="262" t="e">
        <f>U115</f>
        <v>#REF!</v>
      </c>
      <c r="X121" s="64"/>
      <c r="Y121" s="257" t="e">
        <f>ROUNDDOWN(Y120*W121,2)</f>
        <v>#REF!</v>
      </c>
      <c r="AA121" s="29"/>
      <c r="AB121" s="220"/>
    </row>
    <row r="122" spans="11:28" ht="12.75" customHeight="1" thickBot="1" x14ac:dyDescent="0.25">
      <c r="K122" s="575"/>
      <c r="L122" s="23" t="s">
        <v>207</v>
      </c>
      <c r="M122" s="288" t="e">
        <f t="shared" si="26"/>
        <v>#REF!</v>
      </c>
      <c r="N122" s="24" t="e">
        <f t="shared" si="27"/>
        <v>#REF!</v>
      </c>
      <c r="O122" s="24" t="e">
        <f t="shared" si="28"/>
        <v>#REF!</v>
      </c>
      <c r="P122" s="24" t="e">
        <f t="shared" si="22"/>
        <v>#REF!</v>
      </c>
      <c r="Q122" s="24" t="s">
        <v>21</v>
      </c>
      <c r="R122" s="24" t="s">
        <v>21</v>
      </c>
      <c r="S122" s="25" t="s">
        <v>21</v>
      </c>
      <c r="T122" s="576" t="s">
        <v>135</v>
      </c>
      <c r="U122" s="577"/>
      <c r="V122" s="577"/>
      <c r="W122" s="257" t="e">
        <f>W118</f>
        <v>#REF!</v>
      </c>
      <c r="X122" s="64" t="e">
        <f>X118</f>
        <v>#REF!</v>
      </c>
      <c r="Y122" s="257" t="e">
        <f>IF(X118="n.v.","n.v.",Y118-Y121)</f>
        <v>#REF!</v>
      </c>
      <c r="AA122" s="29"/>
      <c r="AB122" s="220"/>
    </row>
    <row r="123" spans="11:28" ht="12.75" customHeight="1" x14ac:dyDescent="0.2">
      <c r="M123" s="28"/>
      <c r="R123" s="64"/>
      <c r="S123" s="64"/>
      <c r="T123" s="64"/>
      <c r="U123" s="64"/>
      <c r="V123" s="64"/>
      <c r="W123" s="64"/>
      <c r="X123" s="64"/>
      <c r="Y123" s="64"/>
      <c r="AA123" s="29"/>
      <c r="AB123" s="220"/>
    </row>
    <row r="124" spans="11:28" ht="12.75" customHeight="1" thickBot="1" x14ac:dyDescent="0.25">
      <c r="M124" s="27"/>
      <c r="U124" s="64"/>
      <c r="V124" s="64" t="s">
        <v>136</v>
      </c>
      <c r="W124" s="257" t="e">
        <f>W118</f>
        <v>#REF!</v>
      </c>
      <c r="X124" s="64" t="e">
        <f>X118</f>
        <v>#REF!</v>
      </c>
      <c r="Y124" s="257" t="e">
        <f>IF(X118="n.v.","n.v.",VLOOKUP(X124,L136:$S$145,W124+1))</f>
        <v>#REF!</v>
      </c>
      <c r="AA124" s="29"/>
      <c r="AB124" s="220"/>
    </row>
    <row r="125" spans="11:28" ht="12.75" customHeight="1" thickBot="1" x14ac:dyDescent="0.25">
      <c r="K125" s="41" t="s">
        <v>25</v>
      </c>
      <c r="L125" s="43" t="s">
        <v>13</v>
      </c>
      <c r="M125" s="290">
        <v>1</v>
      </c>
      <c r="N125" s="290">
        <v>2</v>
      </c>
      <c r="O125" s="290">
        <v>3</v>
      </c>
      <c r="P125" s="290">
        <v>4</v>
      </c>
      <c r="Q125" s="290">
        <v>5</v>
      </c>
      <c r="R125" s="290">
        <v>6</v>
      </c>
      <c r="S125" s="291">
        <v>7</v>
      </c>
      <c r="AA125" s="29"/>
      <c r="AB125" s="220"/>
    </row>
    <row r="126" spans="11:28" ht="13.5" customHeight="1" x14ac:dyDescent="0.2">
      <c r="K126" s="584" t="str">
        <f>K114</f>
        <v>OECD-Prämiensystem
&lt; 2 Jahre ohne CE</v>
      </c>
      <c r="L126" s="292" t="s">
        <v>202</v>
      </c>
      <c r="M126" s="293" t="e">
        <f t="shared" ref="M126:S131" si="29">M117</f>
        <v>#REF!</v>
      </c>
      <c r="N126" s="293" t="e">
        <f t="shared" si="29"/>
        <v>#REF!</v>
      </c>
      <c r="O126" s="293" t="e">
        <f t="shared" si="29"/>
        <v>#REF!</v>
      </c>
      <c r="P126" s="293" t="e">
        <f t="shared" si="29"/>
        <v>#REF!</v>
      </c>
      <c r="Q126" s="293" t="e">
        <f t="shared" si="29"/>
        <v>#REF!</v>
      </c>
      <c r="R126" s="293" t="e">
        <f t="shared" si="29"/>
        <v>#REF!</v>
      </c>
      <c r="S126" s="294" t="e">
        <f t="shared" si="29"/>
        <v>#REF!</v>
      </c>
      <c r="AA126" s="29"/>
      <c r="AB126" s="220"/>
    </row>
    <row r="127" spans="11:28" x14ac:dyDescent="0.2">
      <c r="K127" s="585"/>
      <c r="L127" s="295" t="s">
        <v>203</v>
      </c>
      <c r="M127" s="296" t="e">
        <f t="shared" si="29"/>
        <v>#REF!</v>
      </c>
      <c r="N127" s="296" t="e">
        <f t="shared" si="29"/>
        <v>#REF!</v>
      </c>
      <c r="O127" s="296" t="e">
        <f t="shared" si="29"/>
        <v>#REF!</v>
      </c>
      <c r="P127" s="296" t="e">
        <f t="shared" si="29"/>
        <v>#REF!</v>
      </c>
      <c r="Q127" s="296" t="e">
        <f t="shared" si="29"/>
        <v>#REF!</v>
      </c>
      <c r="R127" s="296" t="e">
        <f t="shared" si="29"/>
        <v>#REF!</v>
      </c>
      <c r="S127" s="297" t="e">
        <f t="shared" si="29"/>
        <v>#REF!</v>
      </c>
      <c r="AA127" s="29"/>
      <c r="AB127" s="220"/>
    </row>
    <row r="128" spans="11:28" x14ac:dyDescent="0.2">
      <c r="K128" s="585"/>
      <c r="L128" s="295" t="s">
        <v>204</v>
      </c>
      <c r="M128" s="296" t="e">
        <f t="shared" si="29"/>
        <v>#REF!</v>
      </c>
      <c r="N128" s="296" t="e">
        <f t="shared" si="29"/>
        <v>#REF!</v>
      </c>
      <c r="O128" s="296" t="e">
        <f t="shared" si="29"/>
        <v>#REF!</v>
      </c>
      <c r="P128" s="296" t="e">
        <f t="shared" si="29"/>
        <v>#REF!</v>
      </c>
      <c r="Q128" s="296" t="e">
        <f t="shared" si="29"/>
        <v>#REF!</v>
      </c>
      <c r="R128" s="296" t="e">
        <f t="shared" si="29"/>
        <v>#REF!</v>
      </c>
      <c r="S128" s="297" t="e">
        <f t="shared" si="29"/>
        <v>#REF!</v>
      </c>
      <c r="AA128" s="29"/>
      <c r="AB128" s="220"/>
    </row>
    <row r="129" spans="11:28" x14ac:dyDescent="0.2">
      <c r="K129" s="585"/>
      <c r="L129" s="295" t="s">
        <v>205</v>
      </c>
      <c r="M129" s="296" t="e">
        <f t="shared" si="29"/>
        <v>#REF!</v>
      </c>
      <c r="N129" s="296" t="e">
        <f t="shared" si="29"/>
        <v>#REF!</v>
      </c>
      <c r="O129" s="296" t="e">
        <f t="shared" si="29"/>
        <v>#REF!</v>
      </c>
      <c r="P129" s="296" t="e">
        <f t="shared" si="29"/>
        <v>#REF!</v>
      </c>
      <c r="Q129" s="296" t="e">
        <f t="shared" si="29"/>
        <v>#REF!</v>
      </c>
      <c r="R129" s="296" t="e">
        <f t="shared" si="29"/>
        <v>#REF!</v>
      </c>
      <c r="S129" s="297" t="str">
        <f t="shared" si="29"/>
        <v>n.a.</v>
      </c>
      <c r="AA129" s="29"/>
      <c r="AB129" s="220"/>
    </row>
    <row r="130" spans="11:28" x14ac:dyDescent="0.2">
      <c r="K130" s="585"/>
      <c r="L130" s="295" t="s">
        <v>206</v>
      </c>
      <c r="M130" s="296" t="e">
        <f t="shared" si="29"/>
        <v>#REF!</v>
      </c>
      <c r="N130" s="296" t="e">
        <f t="shared" si="29"/>
        <v>#REF!</v>
      </c>
      <c r="O130" s="296" t="e">
        <f t="shared" si="29"/>
        <v>#REF!</v>
      </c>
      <c r="P130" s="296" t="e">
        <f t="shared" si="29"/>
        <v>#REF!</v>
      </c>
      <c r="Q130" s="296" t="e">
        <f t="shared" si="29"/>
        <v>#REF!</v>
      </c>
      <c r="R130" s="296" t="str">
        <f t="shared" si="29"/>
        <v>n.a.</v>
      </c>
      <c r="S130" s="297" t="str">
        <f t="shared" si="29"/>
        <v>n.a.</v>
      </c>
      <c r="AA130" s="29"/>
      <c r="AB130" s="220"/>
    </row>
    <row r="131" spans="11:28" x14ac:dyDescent="0.2">
      <c r="K131" s="585"/>
      <c r="L131" s="295" t="s">
        <v>207</v>
      </c>
      <c r="M131" s="296" t="e">
        <f t="shared" si="29"/>
        <v>#REF!</v>
      </c>
      <c r="N131" s="296" t="e">
        <f t="shared" si="29"/>
        <v>#REF!</v>
      </c>
      <c r="O131" s="296" t="e">
        <f t="shared" si="29"/>
        <v>#REF!</v>
      </c>
      <c r="P131" s="296" t="e">
        <f t="shared" si="29"/>
        <v>#REF!</v>
      </c>
      <c r="Q131" s="296" t="str">
        <f t="shared" si="29"/>
        <v>n.a.</v>
      </c>
      <c r="R131" s="296" t="str">
        <f t="shared" si="29"/>
        <v>n.a.</v>
      </c>
      <c r="S131" s="297" t="str">
        <f t="shared" si="29"/>
        <v>n.a.</v>
      </c>
      <c r="AA131" s="29"/>
      <c r="AB131" s="220"/>
    </row>
    <row r="132" spans="11:28" ht="14.45" customHeight="1" x14ac:dyDescent="0.2">
      <c r="K132" s="585"/>
      <c r="L132" s="295" t="s">
        <v>15</v>
      </c>
      <c r="M132" s="296" t="e">
        <f t="shared" ref="M132:S133" si="30">M115</f>
        <v>#REF!</v>
      </c>
      <c r="N132" s="296" t="e">
        <f t="shared" si="30"/>
        <v>#REF!</v>
      </c>
      <c r="O132" s="296" t="e">
        <f t="shared" si="30"/>
        <v>#REF!</v>
      </c>
      <c r="P132" s="296" t="e">
        <f>P115</f>
        <v>#REF!</v>
      </c>
      <c r="Q132" s="296" t="e">
        <f>Q115</f>
        <v>#REF!</v>
      </c>
      <c r="R132" s="296" t="e">
        <f>R115</f>
        <v>#REF!</v>
      </c>
      <c r="S132" s="297" t="e">
        <f>S115</f>
        <v>#REF!</v>
      </c>
      <c r="AA132" s="29"/>
      <c r="AB132" s="220"/>
    </row>
    <row r="133" spans="11:28" x14ac:dyDescent="0.2">
      <c r="K133" s="585"/>
      <c r="L133" s="295" t="s">
        <v>17</v>
      </c>
      <c r="M133" s="296" t="e">
        <f t="shared" si="30"/>
        <v>#REF!</v>
      </c>
      <c r="N133" s="296" t="e">
        <f t="shared" si="30"/>
        <v>#REF!</v>
      </c>
      <c r="O133" s="296" t="e">
        <f t="shared" si="30"/>
        <v>#REF!</v>
      </c>
      <c r="P133" s="296" t="e">
        <f t="shared" si="30"/>
        <v>#REF!</v>
      </c>
      <c r="Q133" s="296" t="e">
        <f t="shared" si="30"/>
        <v>#REF!</v>
      </c>
      <c r="R133" s="296" t="e">
        <f t="shared" si="30"/>
        <v>#REF!</v>
      </c>
      <c r="S133" s="297" t="e">
        <f t="shared" si="30"/>
        <v>#REF!</v>
      </c>
      <c r="AA133" s="29"/>
      <c r="AB133" s="220"/>
    </row>
    <row r="134" spans="11:28" ht="13.5" thickBot="1" x14ac:dyDescent="0.25">
      <c r="K134" s="586"/>
      <c r="L134" s="298" t="s">
        <v>7</v>
      </c>
      <c r="M134" s="299" t="e">
        <f>M114</f>
        <v>#REF!</v>
      </c>
      <c r="N134" s="299" t="e">
        <f t="shared" ref="N134:S134" si="31">N114</f>
        <v>#REF!</v>
      </c>
      <c r="O134" s="299" t="e">
        <f t="shared" si="31"/>
        <v>#REF!</v>
      </c>
      <c r="P134" s="299" t="e">
        <f t="shared" si="31"/>
        <v>#REF!</v>
      </c>
      <c r="Q134" s="299" t="e">
        <f t="shared" si="31"/>
        <v>#REF!</v>
      </c>
      <c r="R134" s="299" t="e">
        <f t="shared" si="31"/>
        <v>#REF!</v>
      </c>
      <c r="S134" s="300" t="e">
        <f t="shared" si="31"/>
        <v>#REF!</v>
      </c>
      <c r="AA134" s="29"/>
      <c r="AB134" s="220"/>
    </row>
    <row r="135" spans="11:28" ht="13.5" thickBot="1" x14ac:dyDescent="0.25">
      <c r="K135" s="32" t="s">
        <v>76</v>
      </c>
      <c r="M135" s="27"/>
      <c r="AA135" s="29"/>
      <c r="AB135" s="220"/>
    </row>
    <row r="136" spans="11:28" ht="13.5" thickBot="1" x14ac:dyDescent="0.25">
      <c r="K136" s="30" t="s">
        <v>25</v>
      </c>
      <c r="L136" s="19" t="s">
        <v>13</v>
      </c>
      <c r="M136" s="15">
        <v>1</v>
      </c>
      <c r="N136" s="15">
        <v>2</v>
      </c>
      <c r="O136" s="15">
        <v>3</v>
      </c>
      <c r="P136" s="15">
        <v>4</v>
      </c>
      <c r="Q136" s="15">
        <v>5</v>
      </c>
      <c r="R136" s="15">
        <v>6</v>
      </c>
      <c r="S136" s="16">
        <v>7</v>
      </c>
      <c r="AA136" s="29"/>
      <c r="AB136" s="220"/>
    </row>
    <row r="137" spans="11:28" x14ac:dyDescent="0.2">
      <c r="K137" s="573" t="s">
        <v>137</v>
      </c>
      <c r="L137" s="17" t="s">
        <v>202</v>
      </c>
      <c r="M137" s="301" t="e">
        <f>ROUND(ROUND($M$101,4)*_RLZ1+ROUND($N$101,2),2)</f>
        <v>#REF!</v>
      </c>
      <c r="N137" s="18" t="e">
        <f>ROUND(ROUND($O$101,4)*_RLZ1+ROUND($P$101,2),2)</f>
        <v>#REF!</v>
      </c>
      <c r="O137" s="18" t="e">
        <f>ROUND(ROUND($Q$101,4)*_RLZ1+ROUND($R$101,2),2)</f>
        <v>#REF!</v>
      </c>
      <c r="P137" s="18" t="e">
        <f>ROUND(ROUND($S$101,4)*_RLZ1+ROUND($T$101,2),2)</f>
        <v>#REF!</v>
      </c>
      <c r="Q137" s="18" t="e">
        <f>ROUND(ROUND($U$101,4)*_RLZ1+ROUND($V$101,2),2)</f>
        <v>#REF!</v>
      </c>
      <c r="R137" s="18" t="e">
        <f>ROUND(ROUND($W$101,4)*_RLZ1+ROUND($X$101,2),2)</f>
        <v>#REF!</v>
      </c>
      <c r="S137" s="31" t="e">
        <f>ROUND(ROUND($Y$101,4)*_RLZ1+ROUND($Z$101,2),2)</f>
        <v>#REF!</v>
      </c>
      <c r="AA137" s="29"/>
      <c r="AB137" s="220"/>
    </row>
    <row r="138" spans="11:28" x14ac:dyDescent="0.2">
      <c r="K138" s="574"/>
      <c r="L138" s="20" t="s">
        <v>203</v>
      </c>
      <c r="M138" s="284" t="e">
        <f>ROUND(ROUND(ROUND($M$104,4)*_RLZ1+ROUND($N$104,2),2)*(1-CE_1)+$M$137*CE_1,2)</f>
        <v>#REF!</v>
      </c>
      <c r="N138" s="21" t="e">
        <f>ROUND(ROUND(ROUND($O$104,4)*_RLZ1+ROUND($P$104,2),2)*(1-CE_1)+N$137*CE_1,2)</f>
        <v>#REF!</v>
      </c>
      <c r="O138" s="21" t="e">
        <f>ROUND(ROUND(ROUND($Q$104,4)*_RLZ1+ROUND($R$104,2),2)*(1-CE_1)+$O137*CE_1,2)</f>
        <v>#REF!</v>
      </c>
      <c r="P138" s="21" t="e">
        <f>ROUND(ROUND(ROUND($S$104,4)*_RLZ1+ROUND($T$104,2),2)*(1-CE_1)+$P137*CE_1,2)</f>
        <v>#REF!</v>
      </c>
      <c r="Q138" s="21" t="e">
        <f>ROUND(ROUND(ROUND($U$104,4)*_RLZ1+ROUND($V$104,2),2)*(1-CE_1)+$Q137*CE_1,2)</f>
        <v>#REF!</v>
      </c>
      <c r="R138" s="21" t="e">
        <f>ROUND(ROUND(ROUND($W$104,4)*_RLZ1+ROUND($X$104,2),2)*(1-CE_1)+$R137*CE_1,2)</f>
        <v>#REF!</v>
      </c>
      <c r="S138" s="22" t="e">
        <f>ROUND(ROUND(ROUND($Y$104,4)*_RLZ1+ROUND($Z$104,2),2)*(1-CE_1)+$S137*CE_1,2)</f>
        <v>#REF!</v>
      </c>
      <c r="AA138" s="29"/>
      <c r="AB138" s="220"/>
    </row>
    <row r="139" spans="11:28" ht="13.9" customHeight="1" x14ac:dyDescent="0.2">
      <c r="K139" s="574"/>
      <c r="L139" s="20" t="s">
        <v>204</v>
      </c>
      <c r="M139" s="284" t="e">
        <f>ROUND(ROUND(ROUND($M$105,4)*_RLZ1+ROUND($N$105,2),2)*(1-CE_1)+$M$137*CE_1,2)</f>
        <v>#REF!</v>
      </c>
      <c r="N139" s="21" t="e">
        <f>ROUND(ROUND(ROUND($O$105,4)*_RLZ1+ROUND($P$105,2),2)*(1-CE_1)+$N137*CE_1,2)</f>
        <v>#REF!</v>
      </c>
      <c r="O139" s="21" t="e">
        <f>ROUND(ROUND(ROUND($Q$105,4)*_RLZ1+ROUND($R$105,2),2)*(1-CE_1)+$O137*CE_1,2)</f>
        <v>#REF!</v>
      </c>
      <c r="P139" s="21" t="e">
        <f>ROUND(ROUND(ROUND($S$105,4)*_RLZ1+ROUND($T$105,2),2)*(1-CE_1)+$P137*CE_1,2)</f>
        <v>#REF!</v>
      </c>
      <c r="Q139" s="21" t="e">
        <f>ROUND(ROUND(ROUND($U$105,4)*_RLZ1+ROUND($V$105,2),2)*(1-CE_1)+$Q137*CE_1,2)</f>
        <v>#REF!</v>
      </c>
      <c r="R139" s="21" t="e">
        <f>ROUND(ROUND(ROUND($W$105,4)*_RLZ1+ROUND($X$105,2),2)*(1-CE_1)+$R137*CE_1,2)</f>
        <v>#REF!</v>
      </c>
      <c r="S139" s="22" t="e">
        <f>ROUND(ROUND(ROUND($Y$105,4)*_RLZ1+ROUND($Z$105,2),2)*(1-CE_1)+$S137*CE_1,2)</f>
        <v>#REF!</v>
      </c>
      <c r="AA139" s="29"/>
      <c r="AB139" s="220"/>
    </row>
    <row r="140" spans="11:28" x14ac:dyDescent="0.2">
      <c r="K140" s="574"/>
      <c r="L140" s="20" t="s">
        <v>205</v>
      </c>
      <c r="M140" s="284" t="e">
        <f>ROUND(ROUND(ROUND($M$106,4)*_RLZ1+ROUND($N$106,2),2)*(1-CE_1)+$M$137*CE_1,2)</f>
        <v>#REF!</v>
      </c>
      <c r="N140" s="21" t="e">
        <f>ROUND(ROUND(ROUND($O$106,4)*_RLZ1+ROUND($P$106,2),2)*(1-CE_1)+$N137*CE_1,2)</f>
        <v>#REF!</v>
      </c>
      <c r="O140" s="21" t="e">
        <f>ROUND(ROUND(ROUND($Q$106,4)*_RLZ1+ROUND($R$106,2),2)*(1-CE_1)+$O137*CE_1,2)</f>
        <v>#REF!</v>
      </c>
      <c r="P140" s="21" t="e">
        <f>ROUND(ROUND(ROUND($S$106,4)*_RLZ1+ROUND($T$106,2),2)*(1-CE_1)+$P137*CE_1,2)</f>
        <v>#REF!</v>
      </c>
      <c r="Q140" s="21" t="e">
        <f>ROUND(ROUND(ROUND($U$106,4)*_RLZ1+ROUND($V$106,2),2)*(1-CE_1)+$Q137*CE_1,2)</f>
        <v>#REF!</v>
      </c>
      <c r="R140" s="21" t="e">
        <f>ROUND(ROUND(ROUND($W$106,4)*_RLZ1+ROUND($X$106,2),2)*(1-CE_1)+$R137*CE_1,2)</f>
        <v>#REF!</v>
      </c>
      <c r="S140" s="22" t="s">
        <v>21</v>
      </c>
      <c r="AA140" s="29"/>
      <c r="AB140" s="220"/>
    </row>
    <row r="141" spans="11:28" x14ac:dyDescent="0.2">
      <c r="K141" s="574"/>
      <c r="L141" s="20" t="s">
        <v>206</v>
      </c>
      <c r="M141" s="284" t="e">
        <f>ROUND(ROUND(ROUND($M$107,4)*_RLZ1+ROUND($N$107,2),2)*(1-CE_1)+$M$137*CE_1,2)</f>
        <v>#REF!</v>
      </c>
      <c r="N141" s="21" t="e">
        <f>ROUND(ROUND(ROUND($O$107,4)*_RLZ1+ROUND($P$107,2),2)*(1-CE_1)+$N137*CE_1,2)</f>
        <v>#REF!</v>
      </c>
      <c r="O141" s="21" t="e">
        <f>ROUND(ROUND(ROUND($Q$107,4)*_RLZ1+ROUND($R$107,2),2)*(1-CE_1)+$O137*CE_1,2)</f>
        <v>#REF!</v>
      </c>
      <c r="P141" s="21" t="e">
        <f>ROUND(ROUND(ROUND($S$107,4)*_RLZ1+ROUND($T$107,2),2)*(1-CE_1)+$P137*CE_1,2)</f>
        <v>#REF!</v>
      </c>
      <c r="Q141" s="21" t="e">
        <f>ROUND(ROUND(ROUND($U$107,4)*_RLZ1+ROUND($V$107,2),2)*(1-CE_1)+$Q137*CE_1,2)</f>
        <v>#REF!</v>
      </c>
      <c r="R141" s="21" t="s">
        <v>21</v>
      </c>
      <c r="S141" s="22" t="s">
        <v>21</v>
      </c>
      <c r="T141" s="33"/>
      <c r="AA141" s="29"/>
      <c r="AB141" s="220"/>
    </row>
    <row r="142" spans="11:28" ht="13.5" thickBot="1" x14ac:dyDescent="0.25">
      <c r="K142" s="574"/>
      <c r="L142" s="23" t="s">
        <v>207</v>
      </c>
      <c r="M142" s="284" t="e">
        <f>ROUND(ROUND(ROUND($M$108,4)*_RLZ1+ROUND($N108,2),2)*(1-CE_1)+$M$137*CE_1,2)</f>
        <v>#REF!</v>
      </c>
      <c r="N142" s="21" t="e">
        <f>ROUND(ROUND(ROUND($O$108,4)*_RLZ1+ROUND($P$108,2),2)*(1-CE_1)+$N137*CE_1,2)</f>
        <v>#REF!</v>
      </c>
      <c r="O142" s="21" t="e">
        <f>ROUND(ROUND(ROUND($Q$108,4)*_RLZ1+ROUND($R$108,2),2)*(1-CE_1)+$O137*CE_1,2)</f>
        <v>#REF!</v>
      </c>
      <c r="P142" s="21" t="e">
        <f>ROUND(ROUND(ROUND($S$108,4)*_RLZ1+ROUND($T$108,2),2)*(1-CE_1)+$P137*CE_1,2)</f>
        <v>#REF!</v>
      </c>
      <c r="Q142" s="21" t="s">
        <v>21</v>
      </c>
      <c r="R142" s="21" t="s">
        <v>21</v>
      </c>
      <c r="S142" s="22" t="s">
        <v>21</v>
      </c>
      <c r="AA142" s="29"/>
      <c r="AB142" s="220"/>
    </row>
    <row r="143" spans="11:28" x14ac:dyDescent="0.2">
      <c r="K143" s="574"/>
      <c r="L143" s="34" t="s">
        <v>15</v>
      </c>
      <c r="M143" s="284" t="e">
        <f>M137</f>
        <v>#REF!</v>
      </c>
      <c r="N143" s="21" t="e">
        <f>N137</f>
        <v>#REF!</v>
      </c>
      <c r="O143" s="21" t="e">
        <f>O137</f>
        <v>#REF!</v>
      </c>
      <c r="P143" s="21" t="e">
        <f>P132</f>
        <v>#REF!</v>
      </c>
      <c r="Q143" s="21" t="e">
        <f>Q132</f>
        <v>#REF!</v>
      </c>
      <c r="R143" s="21" t="e">
        <f>R132</f>
        <v>#REF!</v>
      </c>
      <c r="S143" s="21" t="e">
        <f>S132</f>
        <v>#REF!</v>
      </c>
      <c r="AA143" s="29"/>
      <c r="AB143" s="220"/>
    </row>
    <row r="144" spans="11:28" x14ac:dyDescent="0.2">
      <c r="K144" s="574"/>
      <c r="L144" s="20" t="s">
        <v>17</v>
      </c>
      <c r="M144" s="284" t="e">
        <f>M116</f>
        <v>#REF!</v>
      </c>
      <c r="N144" s="284" t="e">
        <f t="shared" ref="N144:S144" si="32">N116</f>
        <v>#REF!</v>
      </c>
      <c r="O144" s="284" t="e">
        <f t="shared" si="32"/>
        <v>#REF!</v>
      </c>
      <c r="P144" s="284" t="e">
        <f t="shared" si="32"/>
        <v>#REF!</v>
      </c>
      <c r="Q144" s="284" t="e">
        <f t="shared" si="32"/>
        <v>#REF!</v>
      </c>
      <c r="R144" s="284" t="e">
        <f t="shared" si="32"/>
        <v>#REF!</v>
      </c>
      <c r="S144" s="284" t="e">
        <f t="shared" si="32"/>
        <v>#REF!</v>
      </c>
      <c r="AA144" s="29"/>
      <c r="AB144" s="220"/>
    </row>
    <row r="145" spans="10:28" ht="13.15" customHeight="1" thickBot="1" x14ac:dyDescent="0.25">
      <c r="K145" s="575"/>
      <c r="L145" s="23" t="s">
        <v>7</v>
      </c>
      <c r="M145" s="288" t="e">
        <f>M114</f>
        <v>#REF!</v>
      </c>
      <c r="N145" s="24" t="e">
        <f t="shared" ref="N145:S145" si="33">N114</f>
        <v>#REF!</v>
      </c>
      <c r="O145" s="24" t="e">
        <f t="shared" si="33"/>
        <v>#REF!</v>
      </c>
      <c r="P145" s="24" t="e">
        <f t="shared" si="33"/>
        <v>#REF!</v>
      </c>
      <c r="Q145" s="24" t="e">
        <f t="shared" si="33"/>
        <v>#REF!</v>
      </c>
      <c r="R145" s="24" t="e">
        <f t="shared" si="33"/>
        <v>#REF!</v>
      </c>
      <c r="S145" s="25" t="e">
        <f t="shared" si="33"/>
        <v>#REF!</v>
      </c>
      <c r="AA145" s="29"/>
      <c r="AB145" s="220"/>
    </row>
    <row r="146" spans="10:28" ht="13.15" customHeight="1" x14ac:dyDescent="0.2">
      <c r="M146" s="28"/>
      <c r="R146" s="64"/>
      <c r="S146" s="64"/>
      <c r="AA146" s="29"/>
      <c r="AB146" s="220"/>
    </row>
    <row r="147" spans="10:28" ht="13.9" customHeight="1" thickBot="1" x14ac:dyDescent="0.25">
      <c r="J147" s="302"/>
      <c r="M147" s="27"/>
      <c r="T147" s="264"/>
      <c r="U147" s="303"/>
      <c r="V147" s="303"/>
      <c r="W147" s="303"/>
      <c r="X147" s="303"/>
      <c r="Y147" s="304"/>
      <c r="Z147" s="305"/>
      <c r="AA147" s="29"/>
      <c r="AB147" s="220"/>
    </row>
    <row r="148" spans="10:28" ht="13.5" thickBot="1" x14ac:dyDescent="0.25">
      <c r="K148" s="41" t="s">
        <v>30</v>
      </c>
      <c r="L148" s="43"/>
      <c r="M148" s="290"/>
      <c r="N148" s="290"/>
      <c r="O148" s="290"/>
      <c r="P148" s="290"/>
      <c r="Q148" s="290"/>
      <c r="R148" s="290"/>
      <c r="S148" s="291"/>
      <c r="U148" s="35"/>
      <c r="Y148" s="282" t="s">
        <v>27</v>
      </c>
      <c r="Z148" s="283"/>
      <c r="AA148" s="29"/>
      <c r="AB148" s="220"/>
    </row>
    <row r="149" spans="10:28" ht="13.5" thickBot="1" x14ac:dyDescent="0.25">
      <c r="K149" s="30" t="s">
        <v>25</v>
      </c>
      <c r="L149" s="19" t="s">
        <v>13</v>
      </c>
      <c r="M149" s="15">
        <v>1</v>
      </c>
      <c r="N149" s="15">
        <v>2</v>
      </c>
      <c r="O149" s="15">
        <v>3</v>
      </c>
      <c r="P149" s="15">
        <v>4</v>
      </c>
      <c r="Q149" s="15">
        <v>5</v>
      </c>
      <c r="R149" s="15">
        <v>6</v>
      </c>
      <c r="S149" s="16">
        <v>7</v>
      </c>
      <c r="U149" s="43" t="s">
        <v>30</v>
      </c>
      <c r="V149" s="43" t="s">
        <v>14</v>
      </c>
      <c r="W149" s="43"/>
      <c r="X149" s="261" t="e">
        <f>#REF!</f>
        <v>#REF!</v>
      </c>
      <c r="Y149" s="42" t="e">
        <f>#REF!</f>
        <v>#REF!</v>
      </c>
      <c r="Z149" s="285" t="s">
        <v>28</v>
      </c>
      <c r="AA149" s="29"/>
      <c r="AB149" s="220"/>
    </row>
    <row r="150" spans="10:28" ht="13.9" customHeight="1" thickBot="1" x14ac:dyDescent="0.25">
      <c r="K150" s="573" t="str">
        <f>K126</f>
        <v>OECD-Prämiensystem
&lt; 2 Jahre ohne CE</v>
      </c>
      <c r="L150" s="17" t="s">
        <v>202</v>
      </c>
      <c r="M150" s="301" t="e">
        <f>ROUND(ROUND($M$101,4)*_RLZ2+ROUND($N$101,2),2)</f>
        <v>#REF!</v>
      </c>
      <c r="N150" s="18" t="e">
        <f>ROUND(ROUND($O$101,4)*_RLZ2+ROUND($P$101,2),2)</f>
        <v>#REF!</v>
      </c>
      <c r="O150" s="18" t="e">
        <f>ROUND(ROUND($Q$101,4)*_RLZ2+ROUND($R$101,2),2)</f>
        <v>#REF!</v>
      </c>
      <c r="P150" s="18" t="e">
        <f>ROUND(ROUND($S$101,4)*_RLZ2+ROUND($T$101,2),2)</f>
        <v>#REF!</v>
      </c>
      <c r="Q150" s="18" t="e">
        <f>ROUND(ROUND($U$101,4)*_RLZ2+ROUND($V$101,2),2)</f>
        <v>#REF!</v>
      </c>
      <c r="R150" s="18" t="e">
        <f>ROUND(ROUND($W$101,4)*_RLZ2+ROUND($X$101,2),2)</f>
        <v>#REF!</v>
      </c>
      <c r="S150" s="31" t="e">
        <f>ROUND(ROUND($Y$101,4)*_RLZ2+ROUND($Z$101,2),2)</f>
        <v>#REF!</v>
      </c>
      <c r="U150" s="286" t="e">
        <f>CE_2</f>
        <v>#REF!</v>
      </c>
      <c r="V150" s="32" t="s">
        <v>16</v>
      </c>
      <c r="W150" s="32"/>
      <c r="X150" s="269" t="e">
        <f>#REF!</f>
        <v>#REF!</v>
      </c>
      <c r="Y150" s="32" t="s">
        <v>29</v>
      </c>
      <c r="Z150" s="287" t="e">
        <f>IF(X150="n.v.","n.v.",Y157)</f>
        <v>#REF!</v>
      </c>
      <c r="AA150" s="29"/>
      <c r="AB150" s="220"/>
    </row>
    <row r="151" spans="10:28" x14ac:dyDescent="0.2">
      <c r="K151" s="574"/>
      <c r="L151" s="20" t="s">
        <v>203</v>
      </c>
      <c r="M151" s="284" t="e">
        <f>ROUND(ROUND($M$104,4)*_RLZ2+ROUND($N$104,2),2)</f>
        <v>#REF!</v>
      </c>
      <c r="N151" s="21" t="e">
        <f>ROUND(ROUND($O$104,4)*_RLZ2+ROUND($P$104,2),2)</f>
        <v>#REF!</v>
      </c>
      <c r="O151" s="21" t="e">
        <f>ROUND(ROUND($Q$104,4)*_RLZ2+ROUND($R$104,2),2)</f>
        <v>#REF!</v>
      </c>
      <c r="P151" s="21" t="e">
        <f>ROUND(ROUND($S$104,4)*_RLZ2+ROUND($T$104,2),2)</f>
        <v>#REF!</v>
      </c>
      <c r="Q151" s="21" t="e">
        <f>ROUND(ROUND($U$104,4)*_RLZ2+ROUND($V$104,2),2)</f>
        <v>#REF!</v>
      </c>
      <c r="R151" s="21" t="e">
        <f>ROUND(ROUND($W$104,4)*_RLZ2+ROUND($X$104,2),2)</f>
        <v>#REF!</v>
      </c>
      <c r="S151" s="22" t="e">
        <f>ROUND(ROUND($Y$104,4)*_RLZ2+ROUND($Z$104,2),2)</f>
        <v>#REF!</v>
      </c>
      <c r="AA151" s="29"/>
      <c r="AB151" s="220"/>
    </row>
    <row r="152" spans="10:28" x14ac:dyDescent="0.2">
      <c r="K152" s="574"/>
      <c r="L152" s="20" t="s">
        <v>204</v>
      </c>
      <c r="M152" s="284" t="e">
        <f>ROUND(ROUND($M$105,4)*_RLZ2+ROUND($N$105,2),2)</f>
        <v>#REF!</v>
      </c>
      <c r="N152" s="21" t="e">
        <f>ROUND(ROUND($O$105,4)*_RLZ2+ROUND($P$105,2),2)</f>
        <v>#REF!</v>
      </c>
      <c r="O152" s="21" t="e">
        <f>ROUND(ROUND($Q$105,4)*_RLZ2+ROUND($R$105,2),2)</f>
        <v>#REF!</v>
      </c>
      <c r="P152" s="21" t="e">
        <f>ROUND(ROUND($S$105,4)*_RLZ2+ROUND($T$105,2),2)</f>
        <v>#REF!</v>
      </c>
      <c r="Q152" s="21" t="e">
        <f>ROUND(ROUND($U$105,4)*_RLZ2+ROUND($V$105,2),2)</f>
        <v>#REF!</v>
      </c>
      <c r="R152" s="21" t="e">
        <f>ROUND(ROUND($W$105,4)*_RLZ2+ROUND($X$105,2),2)</f>
        <v>#REF!</v>
      </c>
      <c r="S152" s="22" t="e">
        <f>ROUND(ROUND($Y$105,4)*_RLZ2+ROUND($Z$105,2),2)</f>
        <v>#REF!</v>
      </c>
      <c r="U152" s="64"/>
      <c r="V152" s="96" t="s">
        <v>126</v>
      </c>
      <c r="W152" s="64"/>
      <c r="X152" s="64"/>
      <c r="Y152" s="64"/>
      <c r="AA152" s="29"/>
      <c r="AB152" s="220"/>
    </row>
    <row r="153" spans="10:28" ht="13.9" customHeight="1" x14ac:dyDescent="0.2">
      <c r="K153" s="574"/>
      <c r="L153" s="20" t="s">
        <v>205</v>
      </c>
      <c r="M153" s="284" t="e">
        <f>ROUND(ROUND($M$106,4)*_RLZ2+ROUND($N$106,2),2)</f>
        <v>#REF!</v>
      </c>
      <c r="N153" s="21" t="e">
        <f>ROUND(ROUND($O$106,4)*_RLZ2+ROUND($P$106,2),2)</f>
        <v>#REF!</v>
      </c>
      <c r="O153" s="21" t="e">
        <f>ROUND(ROUND($Q$106,4)*_RLZ2+ROUND($R$106,2),2)</f>
        <v>#REF!</v>
      </c>
      <c r="P153" s="21" t="e">
        <f>ROUND(ROUND($S$106,4)*_RLZ2+ROUND($T$106,2),2)</f>
        <v>#REF!</v>
      </c>
      <c r="Q153" s="21" t="e">
        <f>ROUND(ROUND($U$106,4)*_RLZ2+ROUND($V$106,2),2)</f>
        <v>#REF!</v>
      </c>
      <c r="R153" s="21" t="e">
        <f>ROUND(ROUND($W$106,4)*_RLZ2+ROUND($X$106,2),2)</f>
        <v>#REF!</v>
      </c>
      <c r="S153" s="22" t="s">
        <v>21</v>
      </c>
      <c r="U153" s="64"/>
      <c r="V153" s="96" t="s">
        <v>127</v>
      </c>
      <c r="W153" s="257" t="e">
        <f>X149</f>
        <v>#REF!</v>
      </c>
      <c r="X153" s="64" t="e">
        <f>X150</f>
        <v>#REF!</v>
      </c>
      <c r="Y153" s="257" t="e">
        <f>IF(X153="n.v.","n.v.",ROUND(VLOOKUP(X153,$L$149:$S$158,W153+1),2))</f>
        <v>#REF!</v>
      </c>
      <c r="AA153" s="29"/>
      <c r="AB153" s="220"/>
    </row>
    <row r="154" spans="10:28" x14ac:dyDescent="0.2">
      <c r="K154" s="574"/>
      <c r="L154" s="20" t="s">
        <v>206</v>
      </c>
      <c r="M154" s="284" t="e">
        <f>ROUND(ROUND($M$107,4)*_RLZ2+ROUND($N$107,2),2)</f>
        <v>#REF!</v>
      </c>
      <c r="N154" s="21" t="e">
        <f>ROUND(ROUND($O$107,4)*_RLZ2+ROUND($P$107,2),2)</f>
        <v>#REF!</v>
      </c>
      <c r="O154" s="21" t="e">
        <f>ROUND(ROUND($Q$107,4)*_RLZ2+ROUND($R$107,2),2)</f>
        <v>#REF!</v>
      </c>
      <c r="P154" s="21" t="e">
        <f>ROUND(ROUND($S$107,4)*_RLZ2+ROUND($T$107,2),2)</f>
        <v>#REF!</v>
      </c>
      <c r="Q154" s="21" t="e">
        <f>ROUND(ROUND($U$107,4)*_RLZ2+ROUND($V$107,2),2)</f>
        <v>#REF!</v>
      </c>
      <c r="R154" s="21" t="s">
        <v>21</v>
      </c>
      <c r="S154" s="22" t="s">
        <v>21</v>
      </c>
      <c r="U154" s="64"/>
      <c r="V154" s="96" t="s">
        <v>127</v>
      </c>
      <c r="W154" s="257" t="e">
        <f>W153</f>
        <v>#REF!</v>
      </c>
      <c r="X154" s="64" t="s">
        <v>10</v>
      </c>
      <c r="Y154" s="257" t="e">
        <f>ROUND(VLOOKUP(X154,$L$113:$S$122,W154+1),2)</f>
        <v>#REF!</v>
      </c>
      <c r="AA154" s="29"/>
      <c r="AB154" s="220"/>
    </row>
    <row r="155" spans="10:28" ht="13.5" thickBot="1" x14ac:dyDescent="0.25">
      <c r="K155" s="574"/>
      <c r="L155" s="23" t="s">
        <v>207</v>
      </c>
      <c r="M155" s="284" t="e">
        <f>ROUND(ROUND($M$108,4)*_RLZ2+ROUND($N$108,2),2)</f>
        <v>#REF!</v>
      </c>
      <c r="N155" s="21" t="e">
        <f>ROUND(ROUND($O$108,4)*_RLZ2+ROUND($P$108,2),2)</f>
        <v>#REF!</v>
      </c>
      <c r="O155" s="21" t="e">
        <f>ROUND(ROUND($Q$108,4)*_RLZ2+ROUND($R$108,2),2)</f>
        <v>#REF!</v>
      </c>
      <c r="P155" s="21" t="e">
        <f>ROUND(ROUND($S$108,4)*_RLZ2+ROUND($T$108,2),2)</f>
        <v>#REF!</v>
      </c>
      <c r="Q155" s="21" t="s">
        <v>21</v>
      </c>
      <c r="R155" s="21" t="s">
        <v>21</v>
      </c>
      <c r="S155" s="22" t="s">
        <v>21</v>
      </c>
      <c r="U155" s="64"/>
      <c r="V155" s="64" t="s">
        <v>128</v>
      </c>
      <c r="W155" s="64"/>
      <c r="X155" s="64"/>
      <c r="Y155" s="257" t="e">
        <f>Y153-Y154</f>
        <v>#REF!</v>
      </c>
      <c r="AA155" s="29"/>
      <c r="AB155" s="220"/>
    </row>
    <row r="156" spans="10:28" x14ac:dyDescent="0.2">
      <c r="K156" s="574"/>
      <c r="L156" s="34" t="s">
        <v>15</v>
      </c>
      <c r="M156" s="284" t="e">
        <f>ROUND(ROUND($M$101,4)*_RLZ2+ROUND($N$101,2),2)</f>
        <v>#REF!</v>
      </c>
      <c r="N156" s="21" t="e">
        <f>ROUND(ROUND($O$101,4)*_RLZ2+ROUND($P$101,2),2)</f>
        <v>#REF!</v>
      </c>
      <c r="O156" s="21" t="e">
        <f>ROUND(ROUND($Q$101,4)*_RLZ2+ROUND($R$101,2),2)</f>
        <v>#REF!</v>
      </c>
      <c r="P156" s="21" t="e">
        <f>ROUND(ROUND($S101,4)*_RLZ2+ROUND($T101,2),2)</f>
        <v>#REF!</v>
      </c>
      <c r="Q156" s="21" t="e">
        <f>ROUND(ROUND($U101,4)*_RLZ2+ROUND($V101,2),2)</f>
        <v>#REF!</v>
      </c>
      <c r="R156" s="21" t="e">
        <f>ROUND(ROUND($W101,4)*_RLZ2+ROUND($X101,2),2)</f>
        <v>#REF!</v>
      </c>
      <c r="S156" s="22" t="e">
        <f>ROUND(ROUND($Y101,4)*_RLZ2+ROUND($Z101,2),2)</f>
        <v>#REF!</v>
      </c>
      <c r="U156" s="64"/>
      <c r="V156" s="96" t="s">
        <v>129</v>
      </c>
      <c r="W156" s="262" t="e">
        <f>U150</f>
        <v>#REF!</v>
      </c>
      <c r="X156" s="64"/>
      <c r="Y156" s="257" t="e">
        <f>ROUNDDOWN(Y155*CE_2,2)</f>
        <v>#REF!</v>
      </c>
      <c r="AA156" s="29"/>
      <c r="AB156" s="220"/>
    </row>
    <row r="157" spans="10:28" x14ac:dyDescent="0.2">
      <c r="K157" s="574"/>
      <c r="L157" s="20" t="s">
        <v>17</v>
      </c>
      <c r="M157" s="284" t="e">
        <f>ROUND(ROUND($M$102,4)*_RLZ2+ROUND($N$102,2),2)</f>
        <v>#REF!</v>
      </c>
      <c r="N157" s="21" t="e">
        <f>ROUND(ROUND($O$102,4)*_RLZ2+ROUND($P$102,2),2)</f>
        <v>#REF!</v>
      </c>
      <c r="O157" s="21" t="e">
        <f>ROUND(ROUND($Q$102,4)*_RLZ2+ROUND($R$102,2),2)</f>
        <v>#REF!</v>
      </c>
      <c r="P157" s="21" t="e">
        <f>ROUND(ROUND($S102,4)*_RLZ2+ROUND($T102,2),2)</f>
        <v>#REF!</v>
      </c>
      <c r="Q157" s="21" t="e">
        <f>ROUND(ROUND($U102,4)*_RLZ2+ROUND($V102,2),2)</f>
        <v>#REF!</v>
      </c>
      <c r="R157" s="21" t="e">
        <f>ROUND(ROUND($W102,4)*_RLZ2+ROUND($X102,2),2)</f>
        <v>#REF!</v>
      </c>
      <c r="S157" s="22" t="e">
        <f>ROUND(ROUND($Y102,4)*_RLZ2+ROUND($Z102,2),2)</f>
        <v>#REF!</v>
      </c>
      <c r="T157" s="576" t="s">
        <v>135</v>
      </c>
      <c r="U157" s="577"/>
      <c r="V157" s="577"/>
      <c r="W157" s="257" t="e">
        <f>W153</f>
        <v>#REF!</v>
      </c>
      <c r="X157" s="64" t="e">
        <f>X153</f>
        <v>#REF!</v>
      </c>
      <c r="Y157" s="257" t="e">
        <f>IF(X153="n.v.","n.v.",Y153-Y156)</f>
        <v>#REF!</v>
      </c>
      <c r="AA157" s="29"/>
      <c r="AB157" s="220"/>
    </row>
    <row r="158" spans="10:28" ht="13.5" thickBot="1" x14ac:dyDescent="0.25">
      <c r="K158" s="575"/>
      <c r="L158" s="23" t="s">
        <v>7</v>
      </c>
      <c r="M158" s="288" t="e">
        <f>ROUND(ROUND($M$100,4)*_RLZ2+ROUND($N$100,2),2)</f>
        <v>#REF!</v>
      </c>
      <c r="N158" s="24" t="e">
        <f>ROUND(ROUND($O$100,4)*_RLZ2+ROUND($P$100,2),2)</f>
        <v>#REF!</v>
      </c>
      <c r="O158" s="24" t="e">
        <f>ROUND(ROUND($Q$100,4)*_RLZ2+ROUND($R$100,2),2)</f>
        <v>#REF!</v>
      </c>
      <c r="P158" s="21" t="e">
        <f>ROUND(ROUND($S100,4)*_RLZ2+ROUND($T100,2),2)</f>
        <v>#REF!</v>
      </c>
      <c r="Q158" s="21" t="e">
        <f>ROUND(ROUND(U100,4)*_RLZ2+ROUND(V100,2),2)</f>
        <v>#REF!</v>
      </c>
      <c r="R158" s="21" t="e">
        <f>ROUND(ROUND($W100,4)*_RLZ2+ROUND($X100,2),2)</f>
        <v>#REF!</v>
      </c>
      <c r="S158" s="22" t="e">
        <f>ROUND(ROUND(Y100,4)*_RLZ2+ROUND(Z100,2),2)</f>
        <v>#REF!</v>
      </c>
      <c r="U158" s="64"/>
      <c r="V158" s="64"/>
      <c r="W158" s="64"/>
      <c r="X158" s="64"/>
      <c r="Y158" s="64"/>
      <c r="AA158" s="29"/>
      <c r="AB158" s="220"/>
    </row>
    <row r="159" spans="10:28" ht="13.5" thickBot="1" x14ac:dyDescent="0.25">
      <c r="K159" s="41" t="s">
        <v>30</v>
      </c>
      <c r="L159" s="43"/>
      <c r="M159" s="290"/>
      <c r="N159" s="290"/>
      <c r="O159" s="290"/>
      <c r="P159" s="290"/>
      <c r="Q159" s="290"/>
      <c r="R159" s="290"/>
      <c r="S159" s="291"/>
      <c r="U159" s="64"/>
      <c r="AA159" s="29"/>
      <c r="AB159" s="220"/>
    </row>
    <row r="160" spans="10:28" ht="13.9" customHeight="1" thickBot="1" x14ac:dyDescent="0.25">
      <c r="K160" s="30" t="s">
        <v>25</v>
      </c>
      <c r="L160" s="19" t="s">
        <v>13</v>
      </c>
      <c r="M160" s="15">
        <v>1</v>
      </c>
      <c r="N160" s="15">
        <v>2</v>
      </c>
      <c r="O160" s="15">
        <v>3</v>
      </c>
      <c r="P160" s="15">
        <v>4</v>
      </c>
      <c r="Q160" s="15">
        <v>5</v>
      </c>
      <c r="R160" s="15">
        <v>6</v>
      </c>
      <c r="S160" s="16">
        <v>7</v>
      </c>
      <c r="U160" s="96"/>
      <c r="V160" s="306" t="s">
        <v>138</v>
      </c>
      <c r="W160" s="64" t="e">
        <f>W153</f>
        <v>#REF!</v>
      </c>
      <c r="X160" s="64" t="e">
        <f>X153</f>
        <v>#REF!</v>
      </c>
      <c r="Y160" s="257" t="e">
        <f>IF(X153="n.v.","n.v.",ROUND(VLOOKUP(X150,$L$160:$S$169,X149+1),4))</f>
        <v>#REF!</v>
      </c>
      <c r="AA160" s="29"/>
      <c r="AB160" s="220"/>
    </row>
    <row r="161" spans="10:28" ht="13.9" customHeight="1" x14ac:dyDescent="0.2">
      <c r="K161" s="573" t="str">
        <f>K137</f>
        <v>OECD-Prämiensystem
&lt; 2 Jahre mit CE</v>
      </c>
      <c r="L161" s="17" t="s">
        <v>202</v>
      </c>
      <c r="M161" s="301" t="e">
        <f>ROUND(ROUND($M$103,4)*_RLZ2+ROUND($N$103,2),2)</f>
        <v>#REF!</v>
      </c>
      <c r="N161" s="18" t="e">
        <f>ROUND(ROUND($O$103,4)*_RLZ2+ROUND($P$103,2),2)</f>
        <v>#REF!</v>
      </c>
      <c r="O161" s="18" t="e">
        <f>ROUND(ROUND($Q$103,4)*_RLZ2+ROUND($R$103,2),2)</f>
        <v>#REF!</v>
      </c>
      <c r="P161" s="18" t="e">
        <f>ROUND(ROUND($S$103,4)*_RLZ2+ROUND($T$103,2),2)</f>
        <v>#REF!</v>
      </c>
      <c r="Q161" s="18" t="e">
        <f>ROUND(ROUND($U$103,4)*_RLZ2+ROUND($V$103,2),2)</f>
        <v>#REF!</v>
      </c>
      <c r="R161" s="18" t="e">
        <f>ROUND(ROUND($W$103,4)*_RLZ2+ROUND($X$103,2),2)</f>
        <v>#REF!</v>
      </c>
      <c r="S161" s="31" t="e">
        <f>ROUND(ROUND($Y$103,4)*_RLZ2+ROUND($Z$103,2),2)</f>
        <v>#REF!</v>
      </c>
      <c r="AA161" s="29"/>
      <c r="AB161" s="220"/>
    </row>
    <row r="162" spans="10:28" ht="13.9" customHeight="1" x14ac:dyDescent="0.2">
      <c r="K162" s="574"/>
      <c r="L162" s="20" t="s">
        <v>203</v>
      </c>
      <c r="M162" s="284" t="e">
        <f>ROUND(ROUND(ROUND($M$104,4)*_RLZ2+ROUND($N$104,2),2)*(1-CE_2)+$M$137*CE_2,2)</f>
        <v>#REF!</v>
      </c>
      <c r="N162" s="21" t="e">
        <f>ROUND(ROUND(ROUND($O$104,4)*_RLZ2+ROUND($P$104,2),2)*(1-CE_2)+N$137*CE_2,2)</f>
        <v>#REF!</v>
      </c>
      <c r="O162" s="21" t="e">
        <f>ROUND(ROUND(ROUND($Q$104,4)*_RLZ2+ROUND($R$104,2),2)*(1-CE_2)+$O161*CE_2,2)</f>
        <v>#REF!</v>
      </c>
      <c r="P162" s="21" t="e">
        <f>ROUND(ROUND(ROUND($S$104,4)*_RLZ2+ROUND($T$104,2),2)*(1-CE_2)+$P161*CE_2,2)</f>
        <v>#REF!</v>
      </c>
      <c r="Q162" s="21" t="e">
        <f>ROUND(ROUND(ROUND($U$104,4)*_RLZ2+ROUND($V$104,2),2)*(1-CE_2)+$Q161*CE_2,2)</f>
        <v>#REF!</v>
      </c>
      <c r="R162" s="21" t="e">
        <f>ROUND(ROUND(ROUND($W$104,4)*_RLZ2+ROUND($X$104,2),2)*(1-CE_2)+$R161*CE_2,2)</f>
        <v>#REF!</v>
      </c>
      <c r="S162" s="22" t="e">
        <f>ROUND(ROUND(ROUND($Y$104,4)*_RLZ2+ROUND($Z$104,2),2)*(1-CE_2)+$S161*CE_2,2)</f>
        <v>#REF!</v>
      </c>
      <c r="AA162" s="29"/>
      <c r="AB162" s="220"/>
    </row>
    <row r="163" spans="10:28" ht="13.9" customHeight="1" x14ac:dyDescent="0.2">
      <c r="K163" s="574"/>
      <c r="L163" s="20" t="s">
        <v>204</v>
      </c>
      <c r="M163" s="284" t="e">
        <f>ROUND(ROUND(ROUND($M$105,4)*_RLZ2+ROUND($N$105,2),2)*(1-CE_2)+$M$137*CE_2,2)</f>
        <v>#REF!</v>
      </c>
      <c r="N163" s="21" t="e">
        <f>ROUND(ROUND(ROUND($O$105,4)*_RLZ2+ROUND($P$105,2),2)*(1-CE_2)+$N161*CE_2,2)</f>
        <v>#REF!</v>
      </c>
      <c r="O163" s="21" t="e">
        <f>ROUND(ROUND(ROUND($Q$105,4)*_RLZ2+ROUND($R$105,2),2)*(1-CE_2)+$O161*CE_2,2)</f>
        <v>#REF!</v>
      </c>
      <c r="P163" s="21" t="e">
        <f>ROUND(ROUND(ROUND($S$105,4)*_RLZ2+ROUND($T$105,2),2)*(1-CE_2)+$P161*CE_2,2)</f>
        <v>#REF!</v>
      </c>
      <c r="Q163" s="21" t="e">
        <f>ROUND(ROUND(ROUND($U$105,4)*_RLZ2+ROUND($V$105,2),2)*(1-CE_2)+$Q161*CE_2,2)</f>
        <v>#REF!</v>
      </c>
      <c r="R163" s="21" t="e">
        <f>ROUND(ROUND(ROUND($W$105,4)*_RLZ2+ROUND($X$105,2),2)*(1-CE_2)+$R161*CE_2,2)</f>
        <v>#REF!</v>
      </c>
      <c r="S163" s="22" t="e">
        <f>ROUND(ROUND(ROUND($Y$105,4)*_RLZ2+ROUND($Z$105,2),2)*(1-CE_2)+$S161*CE_2,2)</f>
        <v>#REF!</v>
      </c>
      <c r="AA163" s="29"/>
      <c r="AB163" s="220"/>
    </row>
    <row r="164" spans="10:28" x14ac:dyDescent="0.2">
      <c r="K164" s="574"/>
      <c r="L164" s="20" t="s">
        <v>205</v>
      </c>
      <c r="M164" s="284" t="e">
        <f>ROUND(ROUND(ROUND($M$106,4)*_RLZ2+ROUND($N$106,2),2)*(1-CE_2)+$M$137*CE_2,2)</f>
        <v>#REF!</v>
      </c>
      <c r="N164" s="21" t="e">
        <f>ROUND(ROUND(ROUND($O$106,4)*_RLZ2+ROUND($P$106,2),2)*(1-CE_2)+$N161*CE_2,2)</f>
        <v>#REF!</v>
      </c>
      <c r="O164" s="21" t="e">
        <f>ROUND(ROUND(ROUND($Q$106,4)*_RLZ2+ROUND($R$106,2),2)*(1-CE_2)+$O161*CE_2,2)</f>
        <v>#REF!</v>
      </c>
      <c r="P164" s="21" t="e">
        <f>ROUND(ROUND(ROUND($S$106,4)*_RLZ2+ROUND($T$106,2),2)*(1-CE_2)+$P161*CE_2,2)</f>
        <v>#REF!</v>
      </c>
      <c r="Q164" s="21" t="e">
        <f>ROUND(ROUND(ROUND($U$106,4)*_RLZ2+ROUND($V$106,2),2)*(1-CE_2)+$Q161*CE_2,2)</f>
        <v>#REF!</v>
      </c>
      <c r="R164" s="21" t="e">
        <f>ROUND(ROUND(ROUND($W$106,4)*_RLZ2+ROUND($X$106,2),2)*(1-CE_2)+$R161*CE_2,2)</f>
        <v>#REF!</v>
      </c>
      <c r="S164" s="22" t="s">
        <v>21</v>
      </c>
      <c r="AA164" s="29"/>
      <c r="AB164" s="220"/>
    </row>
    <row r="165" spans="10:28" x14ac:dyDescent="0.2">
      <c r="K165" s="574"/>
      <c r="L165" s="20" t="s">
        <v>206</v>
      </c>
      <c r="M165" s="284" t="e">
        <f>ROUND(ROUND(ROUND($M$107,4)*_RLZ2+ROUND($N$107,2),2)*(1-CE_2)+$M$150*CE_2,2)</f>
        <v>#REF!</v>
      </c>
      <c r="N165" s="21" t="e">
        <f>ROUND(ROUND(ROUND($O$107,4)*_RLZ2+ROUND($P$107,2),2)*(1-CE_2)+$N161*CE_2,2)</f>
        <v>#REF!</v>
      </c>
      <c r="O165" s="21" t="e">
        <f>ROUND(ROUND(ROUND($Q$107,4)*_RLZ2+ROUND($R$107,2),2)*(1-CE_2)+$O161*CE_2,2)</f>
        <v>#REF!</v>
      </c>
      <c r="P165" s="21" t="e">
        <f>ROUND(ROUND(ROUND($S$107,4)*_RLZ2+ROUND($T$107,2),2)*(1-CE_2)+$P161*CE_2,2)</f>
        <v>#REF!</v>
      </c>
      <c r="Q165" s="21" t="e">
        <f>ROUND(ROUND(ROUND($U$107,4)*_RLZ2+ROUND($V$107,2),2)*(1-CE_2)+$Q161*CE_2,2)</f>
        <v>#REF!</v>
      </c>
      <c r="R165" s="21" t="s">
        <v>21</v>
      </c>
      <c r="S165" s="22" t="s">
        <v>21</v>
      </c>
      <c r="AA165" s="29"/>
      <c r="AB165" s="220"/>
    </row>
    <row r="166" spans="10:28" ht="13.5" thickBot="1" x14ac:dyDescent="0.25">
      <c r="K166" s="574"/>
      <c r="L166" s="23" t="s">
        <v>207</v>
      </c>
      <c r="M166" s="284" t="e">
        <f>ROUND(ROUND(ROUND($M$108,4)*_RLZ2+ROUND($N$108,2),2)*(1-CE_2)+$M$150*CE_2,2)</f>
        <v>#REF!</v>
      </c>
      <c r="N166" s="21" t="e">
        <f>ROUND(ROUND(ROUND($O$108,4)*_RLZ2+ROUND($P$108,2),2)*(1-CE_2)+$N$150*CE_2,2)</f>
        <v>#REF!</v>
      </c>
      <c r="O166" s="21" t="e">
        <f>ROUND(ROUND(ROUND($Q$108,4)*_RLZ2+ROUND($R$108,2),2)*(1-CE_2)+$O$150*CE_2,2)</f>
        <v>#REF!</v>
      </c>
      <c r="P166" s="21" t="e">
        <f>ROUND(ROUND(ROUND($S$108,4)*_RLZ2+ROUND($T$108,2),2)*(1-CE_2)+$P$150*CE_2,2)</f>
        <v>#REF!</v>
      </c>
      <c r="Q166" s="21" t="s">
        <v>21</v>
      </c>
      <c r="R166" s="21" t="s">
        <v>21</v>
      </c>
      <c r="S166" s="22" t="s">
        <v>21</v>
      </c>
      <c r="AA166" s="29"/>
      <c r="AB166" s="220"/>
    </row>
    <row r="167" spans="10:28" ht="13.9" customHeight="1" x14ac:dyDescent="0.2">
      <c r="K167" s="574"/>
      <c r="L167" s="34" t="s">
        <v>15</v>
      </c>
      <c r="M167" s="284" t="e">
        <f>M156</f>
        <v>#REF!</v>
      </c>
      <c r="N167" s="21" t="e">
        <f t="shared" ref="N167:S169" si="34">N156</f>
        <v>#REF!</v>
      </c>
      <c r="O167" s="21" t="e">
        <f t="shared" si="34"/>
        <v>#REF!</v>
      </c>
      <c r="P167" s="21" t="e">
        <f>P156</f>
        <v>#REF!</v>
      </c>
      <c r="Q167" s="21" t="e">
        <f t="shared" si="34"/>
        <v>#REF!</v>
      </c>
      <c r="R167" s="21" t="e">
        <f t="shared" si="34"/>
        <v>#REF!</v>
      </c>
      <c r="S167" s="22" t="e">
        <f t="shared" si="34"/>
        <v>#REF!</v>
      </c>
      <c r="AA167" s="29"/>
      <c r="AB167" s="220"/>
    </row>
    <row r="168" spans="10:28" x14ac:dyDescent="0.2">
      <c r="K168" s="574"/>
      <c r="L168" s="20" t="s">
        <v>17</v>
      </c>
      <c r="M168" s="284" t="e">
        <f>M157</f>
        <v>#REF!</v>
      </c>
      <c r="N168" s="21" t="e">
        <f t="shared" si="34"/>
        <v>#REF!</v>
      </c>
      <c r="O168" s="21" t="e">
        <f t="shared" si="34"/>
        <v>#REF!</v>
      </c>
      <c r="P168" s="21" t="e">
        <f t="shared" si="34"/>
        <v>#REF!</v>
      </c>
      <c r="Q168" s="21" t="e">
        <f t="shared" si="34"/>
        <v>#REF!</v>
      </c>
      <c r="R168" s="21" t="e">
        <f t="shared" si="34"/>
        <v>#REF!</v>
      </c>
      <c r="S168" s="22" t="e">
        <f t="shared" si="34"/>
        <v>#REF!</v>
      </c>
      <c r="AA168" s="29"/>
      <c r="AB168" s="220"/>
    </row>
    <row r="169" spans="10:28" ht="13.5" thickBot="1" x14ac:dyDescent="0.25">
      <c r="K169" s="575"/>
      <c r="L169" s="23" t="s">
        <v>7</v>
      </c>
      <c r="M169" s="288" t="e">
        <f>M158</f>
        <v>#REF!</v>
      </c>
      <c r="N169" s="24" t="e">
        <f t="shared" si="34"/>
        <v>#REF!</v>
      </c>
      <c r="O169" s="24" t="e">
        <f t="shared" si="34"/>
        <v>#REF!</v>
      </c>
      <c r="P169" s="24" t="e">
        <f t="shared" si="34"/>
        <v>#REF!</v>
      </c>
      <c r="Q169" s="24" t="e">
        <f t="shared" si="34"/>
        <v>#REF!</v>
      </c>
      <c r="R169" s="24" t="e">
        <f>R158</f>
        <v>#REF!</v>
      </c>
      <c r="S169" s="25" t="e">
        <f t="shared" si="34"/>
        <v>#REF!</v>
      </c>
      <c r="AA169" s="29"/>
      <c r="AB169" s="220"/>
    </row>
    <row r="170" spans="10:28" x14ac:dyDescent="0.2">
      <c r="J170" s="302"/>
      <c r="K170" s="264"/>
      <c r="L170" s="264"/>
      <c r="M170" s="264"/>
      <c r="N170" s="264"/>
      <c r="O170" s="264"/>
      <c r="P170" s="264"/>
      <c r="Q170" s="264"/>
      <c r="R170" s="264"/>
      <c r="S170" s="264"/>
      <c r="T170" s="264"/>
      <c r="U170" s="264"/>
      <c r="V170" s="264"/>
      <c r="W170" s="264"/>
      <c r="X170" s="264"/>
      <c r="Y170" s="264"/>
      <c r="Z170" s="305"/>
      <c r="AA170" s="29"/>
      <c r="AB170" s="220"/>
    </row>
    <row r="171" spans="10:28" ht="13.5" thickBot="1" x14ac:dyDescent="0.25">
      <c r="M171" s="27"/>
      <c r="AA171" s="29"/>
      <c r="AB171" s="220"/>
    </row>
    <row r="172" spans="10:28" ht="13.5" thickBot="1" x14ac:dyDescent="0.25">
      <c r="K172" s="41" t="s">
        <v>31</v>
      </c>
      <c r="L172" s="43"/>
      <c r="M172" s="290"/>
      <c r="N172" s="290"/>
      <c r="O172" s="290"/>
      <c r="P172" s="290"/>
      <c r="Q172" s="290"/>
      <c r="R172" s="290"/>
      <c r="S172" s="291"/>
      <c r="U172" s="35"/>
      <c r="Y172" s="282" t="s">
        <v>27</v>
      </c>
      <c r="Z172" s="283"/>
      <c r="AA172" s="29"/>
      <c r="AB172" s="220"/>
    </row>
    <row r="173" spans="10:28" ht="13.15" customHeight="1" thickBot="1" x14ac:dyDescent="0.25">
      <c r="K173" s="30" t="s">
        <v>25</v>
      </c>
      <c r="L173" s="19" t="s">
        <v>13</v>
      </c>
      <c r="M173" s="15">
        <v>1</v>
      </c>
      <c r="N173" s="15">
        <v>2</v>
      </c>
      <c r="O173" s="15">
        <v>3</v>
      </c>
      <c r="P173" s="15">
        <v>4</v>
      </c>
      <c r="Q173" s="15">
        <v>5</v>
      </c>
      <c r="R173" s="15">
        <v>6</v>
      </c>
      <c r="S173" s="16">
        <v>7</v>
      </c>
      <c r="U173" s="43" t="s">
        <v>31</v>
      </c>
      <c r="V173" s="43" t="s">
        <v>14</v>
      </c>
      <c r="W173" s="43"/>
      <c r="X173" s="261" t="e">
        <f>#REF!</f>
        <v>#REF!</v>
      </c>
      <c r="Y173" s="42" t="e">
        <f>#REF!</f>
        <v>#REF!</v>
      </c>
      <c r="Z173" s="285" t="s">
        <v>28</v>
      </c>
      <c r="AA173" s="29"/>
      <c r="AB173" s="220"/>
    </row>
    <row r="174" spans="10:28" ht="13.15" customHeight="1" thickBot="1" x14ac:dyDescent="0.25">
      <c r="K174" s="573" t="str">
        <f>K150</f>
        <v>OECD-Prämiensystem
&lt; 2 Jahre ohne CE</v>
      </c>
      <c r="L174" s="17" t="s">
        <v>202</v>
      </c>
      <c r="M174" s="301" t="e">
        <f>ROUND(ROUND($M$101,4)*_RLZ3+ROUND($N$101,2),2)</f>
        <v>#REF!</v>
      </c>
      <c r="N174" s="18" t="e">
        <f>ROUND(ROUND($O$101,4)*_RLZ3+ROUND($P$101,2),2)</f>
        <v>#REF!</v>
      </c>
      <c r="O174" s="18" t="e">
        <f>ROUND(ROUND($Q$101,4)*_RLZ3+ROUND($R$101,2),2)</f>
        <v>#REF!</v>
      </c>
      <c r="P174" s="18" t="e">
        <f>ROUND(ROUND($S$101,4)*_RLZ3+ROUND($T$101,2),2)</f>
        <v>#REF!</v>
      </c>
      <c r="Q174" s="18" t="e">
        <f>ROUND(ROUND($U$103,4)*_RLZ3+ROUND($V$103,2),2)</f>
        <v>#REF!</v>
      </c>
      <c r="R174" s="18" t="e">
        <f>ROUND(ROUND($W$101,4)*_RLZ3+ROUND($X$101,2),2)</f>
        <v>#REF!</v>
      </c>
      <c r="S174" s="31" t="e">
        <f>ROUND(ROUND($Y$101,4)*_RLZ3+ROUND($Z$101,2),2)</f>
        <v>#REF!</v>
      </c>
      <c r="U174" s="286" t="e">
        <f>#REF!</f>
        <v>#REF!</v>
      </c>
      <c r="V174" s="32" t="s">
        <v>16</v>
      </c>
      <c r="W174" s="32"/>
      <c r="X174" s="269" t="e">
        <f>#REF!</f>
        <v>#REF!</v>
      </c>
      <c r="Y174" s="32" t="s">
        <v>29</v>
      </c>
      <c r="Z174" s="287" t="e">
        <f>IF(X174="n.v.","n.v.",Y181)</f>
        <v>#REF!</v>
      </c>
      <c r="AA174" s="29"/>
      <c r="AB174" s="220"/>
    </row>
    <row r="175" spans="10:28" ht="13.15" customHeight="1" x14ac:dyDescent="0.2">
      <c r="K175" s="574"/>
      <c r="L175" s="20" t="s">
        <v>203</v>
      </c>
      <c r="M175" s="284" t="e">
        <f>ROUND(ROUND($M$104,4)*_RLZ3+ROUND($N$104,2),2)</f>
        <v>#REF!</v>
      </c>
      <c r="N175" s="21" t="e">
        <f>ROUND(ROUND($O$104,4)*_RLZ3+ROUND($P$104,2),2)</f>
        <v>#REF!</v>
      </c>
      <c r="O175" s="21" t="e">
        <f>ROUND(ROUND($Q$104,4)*_RLZ3+ROUND($R$104,2),2)</f>
        <v>#REF!</v>
      </c>
      <c r="P175" s="21" t="e">
        <f>ROUND(ROUND($S$104,4)*_RLZ3+ROUND($T$104,2),2)</f>
        <v>#REF!</v>
      </c>
      <c r="Q175" s="21" t="e">
        <f>ROUND(ROUND($U$104,4)*_RLZ3+ROUND($V$104,2),2)</f>
        <v>#REF!</v>
      </c>
      <c r="R175" s="21" t="e">
        <f>ROUND(ROUND($W$104,4)*_RLZ3+ROUND($X$104,2),2)</f>
        <v>#REF!</v>
      </c>
      <c r="S175" s="22" t="e">
        <f>ROUND(ROUND($Y$104,4)*_RLZ3+ROUND($Z$104,2),2)</f>
        <v>#REF!</v>
      </c>
      <c r="AA175" s="29"/>
      <c r="AB175" s="220"/>
    </row>
    <row r="176" spans="10:28" x14ac:dyDescent="0.2">
      <c r="K176" s="574"/>
      <c r="L176" s="20" t="s">
        <v>204</v>
      </c>
      <c r="M176" s="284" t="e">
        <f>ROUND(ROUND($M$105,4)*_RLZ3+ROUND($N$105,2),2)</f>
        <v>#REF!</v>
      </c>
      <c r="N176" s="21" t="e">
        <f>ROUND(ROUND($O$105,4)*_RLZ3+ROUND($P$105,2),2)</f>
        <v>#REF!</v>
      </c>
      <c r="O176" s="21" t="e">
        <f>ROUND(ROUND($Q$105,4)*_RLZ3+ROUND($R$105,2),2)</f>
        <v>#REF!</v>
      </c>
      <c r="P176" s="21" t="e">
        <f>ROUND(ROUND($S$105,4)*_RLZ3+ROUND($T$105,2),2)</f>
        <v>#REF!</v>
      </c>
      <c r="Q176" s="21" t="e">
        <f>ROUND(ROUND($U$105,4)*_RLZ3+ROUND($V$105,2),2)</f>
        <v>#REF!</v>
      </c>
      <c r="R176" s="21" t="e">
        <f>ROUND(ROUND($W$105,4)*_RLZ3+ROUND($X$105,2),2)</f>
        <v>#REF!</v>
      </c>
      <c r="S176" s="22" t="e">
        <f>ROUND(ROUND($Y$105,4)*_RLZ3+ROUND($Z$105,2),2)</f>
        <v>#REF!</v>
      </c>
      <c r="U176" s="64"/>
      <c r="V176" s="96" t="s">
        <v>126</v>
      </c>
      <c r="W176" s="64"/>
      <c r="X176" s="64"/>
      <c r="Y176" s="64"/>
      <c r="AA176" s="29"/>
      <c r="AB176" s="220"/>
    </row>
    <row r="177" spans="11:28" x14ac:dyDescent="0.2">
      <c r="K177" s="574"/>
      <c r="L177" s="20" t="s">
        <v>205</v>
      </c>
      <c r="M177" s="284" t="e">
        <f>ROUND(ROUND($M$106,4)*_RLZ3+ROUND($N$106,2),2)</f>
        <v>#REF!</v>
      </c>
      <c r="N177" s="21" t="e">
        <f>ROUND(ROUND($O$106,4)*_RLZ3+ROUND($P$106,2),2)</f>
        <v>#REF!</v>
      </c>
      <c r="O177" s="21" t="e">
        <f>ROUND(ROUND($Q$106,4)*_RLZ3+ROUND($R$106,2),2)</f>
        <v>#REF!</v>
      </c>
      <c r="P177" s="21" t="e">
        <f>ROUND(ROUND($S$106,4)*_RLZ3+ROUND($T$106,2),2)</f>
        <v>#REF!</v>
      </c>
      <c r="Q177" s="21" t="e">
        <f>ROUND(ROUND($U$106,4)*_RLZ3+ROUND($V$106,2),2)</f>
        <v>#REF!</v>
      </c>
      <c r="R177" s="21" t="e">
        <f>ROUND(ROUND($W$106,4)*_RLZ3+ROUND($X$106,2),2)</f>
        <v>#REF!</v>
      </c>
      <c r="S177" s="22" t="s">
        <v>21</v>
      </c>
      <c r="U177" s="64"/>
      <c r="V177" s="96" t="s">
        <v>127</v>
      </c>
      <c r="W177" s="257" t="e">
        <f>X173</f>
        <v>#REF!</v>
      </c>
      <c r="X177" s="64" t="e">
        <f>X174</f>
        <v>#REF!</v>
      </c>
      <c r="Y177" s="257" t="e">
        <f>IF(X177="n.v.","n.v.",ROUND(VLOOKUP(X177,L173:S182,W177+1),2))</f>
        <v>#REF!</v>
      </c>
      <c r="AA177" s="29"/>
      <c r="AB177" s="220"/>
    </row>
    <row r="178" spans="11:28" x14ac:dyDescent="0.2">
      <c r="K178" s="574"/>
      <c r="L178" s="20" t="s">
        <v>206</v>
      </c>
      <c r="M178" s="284" t="e">
        <f>ROUND(ROUND($M$107,4)*_RLZ3+ROUND($N$107,2),2)</f>
        <v>#REF!</v>
      </c>
      <c r="N178" s="21" t="e">
        <f>ROUND(ROUND($O$107,4)*_RLZ3+ROUND($P$107,2),2)</f>
        <v>#REF!</v>
      </c>
      <c r="O178" s="21" t="e">
        <f>ROUND(ROUND($Q$107,4)*_RLZ3+ROUND($R$107,2),2)</f>
        <v>#REF!</v>
      </c>
      <c r="P178" s="21" t="e">
        <f>ROUND(ROUND($S$107,4)*_RLZ3+ROUND($T$107,2),2)</f>
        <v>#REF!</v>
      </c>
      <c r="Q178" s="21" t="e">
        <f>ROUND(ROUND($U$107,4)*_RLZ3+ROUND($V$107,2),2)</f>
        <v>#REF!</v>
      </c>
      <c r="R178" s="21" t="s">
        <v>21</v>
      </c>
      <c r="S178" s="22" t="s">
        <v>21</v>
      </c>
      <c r="U178" s="64"/>
      <c r="V178" s="96" t="s">
        <v>127</v>
      </c>
      <c r="W178" s="257" t="e">
        <f>W177</f>
        <v>#REF!</v>
      </c>
      <c r="X178" s="64" t="s">
        <v>10</v>
      </c>
      <c r="Y178" s="257" t="e">
        <f>ROUND(VLOOKUP(X178,L173:S182,W178+1),2)</f>
        <v>#REF!</v>
      </c>
      <c r="AA178" s="29"/>
      <c r="AB178" s="220"/>
    </row>
    <row r="179" spans="11:28" ht="13.5" thickBot="1" x14ac:dyDescent="0.25">
      <c r="K179" s="574"/>
      <c r="L179" s="23" t="s">
        <v>207</v>
      </c>
      <c r="M179" s="284" t="e">
        <f>ROUND(ROUND($M$108,4)*_RLZ3+ROUND($N$108,2),2)</f>
        <v>#REF!</v>
      </c>
      <c r="N179" s="21" t="e">
        <f>ROUND(ROUND($O$108,4)*_RLZ3+ROUND($P$108,2),2)</f>
        <v>#REF!</v>
      </c>
      <c r="O179" s="21" t="e">
        <f>ROUND(ROUND($Q$108,4)*_RLZ3+ROUND($R$108,2),2)</f>
        <v>#REF!</v>
      </c>
      <c r="P179" s="21" t="e">
        <f>ROUND(ROUND($S$108,4)*_RLZ3+ROUND($T$108,2),2)</f>
        <v>#REF!</v>
      </c>
      <c r="Q179" s="21" t="s">
        <v>21</v>
      </c>
      <c r="R179" s="21" t="s">
        <v>21</v>
      </c>
      <c r="S179" s="22" t="s">
        <v>21</v>
      </c>
      <c r="U179" s="64"/>
      <c r="V179" s="64" t="s">
        <v>128</v>
      </c>
      <c r="W179" s="64"/>
      <c r="X179" s="64"/>
      <c r="Y179" s="257" t="e">
        <f>Y177-Y178</f>
        <v>#REF!</v>
      </c>
      <c r="AA179" s="29"/>
      <c r="AB179" s="220"/>
    </row>
    <row r="180" spans="11:28" x14ac:dyDescent="0.2">
      <c r="K180" s="574"/>
      <c r="L180" s="34" t="s">
        <v>15</v>
      </c>
      <c r="M180" s="284" t="e">
        <f>ROUND(ROUND($M$101,4)*_RLZ3+ROUND($N$101,2),2)</f>
        <v>#REF!</v>
      </c>
      <c r="N180" s="21" t="e">
        <f>ROUND(ROUND($O$101,4)*_RLZ3+ROUND($P$101,2),2)</f>
        <v>#REF!</v>
      </c>
      <c r="O180" s="21" t="e">
        <f>ROUND(ROUND($Q$101,4)*_RLZ3+ROUND($R$101,2),2)</f>
        <v>#REF!</v>
      </c>
      <c r="P180" s="21" t="e">
        <f>ROUND(ROUND($S101,4)*_RLZ3+ROUND($T101,2),2)</f>
        <v>#REF!</v>
      </c>
      <c r="Q180" s="21" t="e">
        <f>ROUND(ROUND($U101,4)*_RLZ3+ROUND($V101,2),2)</f>
        <v>#REF!</v>
      </c>
      <c r="R180" s="21" t="e">
        <f>ROUND(ROUND($W101,4)*_RLZ3+ROUND($X101,2),2)</f>
        <v>#REF!</v>
      </c>
      <c r="S180" s="22" t="e">
        <f>ROUND(ROUND($Y101,4)*_RLZ3+ROUND($Z101,2),2)</f>
        <v>#REF!</v>
      </c>
      <c r="U180" s="64"/>
      <c r="V180" s="96" t="s">
        <v>129</v>
      </c>
      <c r="W180" s="262" t="e">
        <f>U174</f>
        <v>#REF!</v>
      </c>
      <c r="X180" s="64"/>
      <c r="Y180" s="257" t="e">
        <f>ROUNDDOWN(Y179*W180,2)</f>
        <v>#REF!</v>
      </c>
      <c r="AA180" s="29"/>
      <c r="AB180" s="220"/>
    </row>
    <row r="181" spans="11:28" ht="13.9" customHeight="1" x14ac:dyDescent="0.2">
      <c r="K181" s="574"/>
      <c r="L181" s="20" t="s">
        <v>17</v>
      </c>
      <c r="M181" s="284" t="e">
        <f>ROUND(ROUND($M$102,4)*_RLZ3+ROUND($N$102,2),2)</f>
        <v>#REF!</v>
      </c>
      <c r="N181" s="21" t="e">
        <f>ROUND(ROUND($O$102,4)*_RLZ3+ROUND($P$102,2),2)</f>
        <v>#REF!</v>
      </c>
      <c r="O181" s="21" t="e">
        <f>ROUND(ROUND($Q$102,4)*_RLZ3+ROUND($R$102,2),2)</f>
        <v>#REF!</v>
      </c>
      <c r="P181" s="21" t="e">
        <f>ROUND(ROUND($S102,4)*_RLZ3+ROUND($T102,2),2)</f>
        <v>#REF!</v>
      </c>
      <c r="Q181" s="21" t="e">
        <f>ROUND(ROUND($U102,4)*_RLZ3+ROUND($V102,2),2)</f>
        <v>#REF!</v>
      </c>
      <c r="R181" s="21" t="e">
        <f>ROUND(ROUND($W102,4)*_RLZ3+ROUND($X102,2),2)</f>
        <v>#REF!</v>
      </c>
      <c r="S181" s="22" t="e">
        <f>ROUND(ROUND($Y102,4)*_RLZ3+ROUND($Z102,2),2)</f>
        <v>#REF!</v>
      </c>
      <c r="T181" s="576" t="s">
        <v>135</v>
      </c>
      <c r="U181" s="577"/>
      <c r="V181" s="577"/>
      <c r="W181" s="257" t="e">
        <f>W177</f>
        <v>#REF!</v>
      </c>
      <c r="X181" s="64" t="e">
        <f>X177</f>
        <v>#REF!</v>
      </c>
      <c r="Y181" s="257" t="e">
        <f>IF(X177="n.v.","n.v.",Y177-Y180)</f>
        <v>#REF!</v>
      </c>
      <c r="AA181" s="29"/>
      <c r="AB181" s="220"/>
    </row>
    <row r="182" spans="11:28" ht="13.5" thickBot="1" x14ac:dyDescent="0.25">
      <c r="K182" s="575"/>
      <c r="L182" s="23" t="s">
        <v>7</v>
      </c>
      <c r="M182" s="288" t="e">
        <f>ROUND(ROUND($M$100,4)*_RLZ3+ROUND($N$100,2),2)</f>
        <v>#REF!</v>
      </c>
      <c r="N182" s="24" t="e">
        <f>ROUND(ROUND($O$100,4)*_RLZ3+ROUND($P$100,2),2)</f>
        <v>#REF!</v>
      </c>
      <c r="O182" s="24" t="e">
        <f>ROUND(ROUND($Q$100,4)*_RLZ3+ROUND($R$100,2),2)</f>
        <v>#REF!</v>
      </c>
      <c r="P182" s="21" t="e">
        <f>ROUND(ROUND($S100,4)*_RLZ3+ROUND($T100,2),2)</f>
        <v>#REF!</v>
      </c>
      <c r="Q182" s="21" t="e">
        <f>ROUND(ROUND($U100,4)*_RLZ3+ROUND($V100,2),2)</f>
        <v>#REF!</v>
      </c>
      <c r="R182" s="21" t="e">
        <f>ROUND(ROUND($W100,4)*_RLZ3+ROUND($X100,2),2)</f>
        <v>#REF!</v>
      </c>
      <c r="S182" s="22" t="e">
        <f>ROUND(ROUND($Y100,4)*_RLZ3+ROUND($Z100,2),2)</f>
        <v>#REF!</v>
      </c>
      <c r="U182" s="64"/>
      <c r="V182" s="64"/>
      <c r="W182" s="64"/>
      <c r="X182" s="64"/>
      <c r="Y182" s="64"/>
      <c r="AA182" s="29"/>
      <c r="AB182" s="220"/>
    </row>
    <row r="183" spans="11:28" ht="13.5" thickBot="1" x14ac:dyDescent="0.25">
      <c r="K183" s="41" t="s">
        <v>31</v>
      </c>
      <c r="L183" s="43"/>
      <c r="M183" s="290"/>
      <c r="N183" s="290"/>
      <c r="O183" s="290"/>
      <c r="P183" s="290"/>
      <c r="Q183" s="290"/>
      <c r="R183" s="290"/>
      <c r="S183" s="291"/>
      <c r="U183" s="64"/>
      <c r="V183" s="64"/>
      <c r="W183" s="64"/>
      <c r="X183" s="64"/>
      <c r="Y183" s="64"/>
      <c r="AA183" s="29"/>
      <c r="AB183" s="220"/>
    </row>
    <row r="184" spans="11:28" ht="13.5" thickBot="1" x14ac:dyDescent="0.25">
      <c r="K184" s="30" t="s">
        <v>25</v>
      </c>
      <c r="L184" s="19" t="s">
        <v>13</v>
      </c>
      <c r="M184" s="15">
        <v>1</v>
      </c>
      <c r="N184" s="15">
        <v>2</v>
      </c>
      <c r="O184" s="15">
        <v>3</v>
      </c>
      <c r="P184" s="15">
        <v>4</v>
      </c>
      <c r="Q184" s="15">
        <v>5</v>
      </c>
      <c r="R184" s="15">
        <v>6</v>
      </c>
      <c r="S184" s="16">
        <v>7</v>
      </c>
      <c r="U184" s="64"/>
      <c r="V184" s="64"/>
      <c r="W184" s="64"/>
      <c r="X184" s="64"/>
      <c r="Y184" s="64"/>
      <c r="AA184" s="29"/>
      <c r="AB184" s="220"/>
    </row>
    <row r="185" spans="11:28" x14ac:dyDescent="0.2">
      <c r="K185" s="573" t="str">
        <f>K161</f>
        <v>OECD-Prämiensystem
&lt; 2 Jahre mit CE</v>
      </c>
      <c r="L185" s="17" t="s">
        <v>202</v>
      </c>
      <c r="M185" s="301" t="e">
        <f>ROUND(ROUND($M$101,4)*_RLZ3+ROUND($N$101,2),2)</f>
        <v>#REF!</v>
      </c>
      <c r="N185" s="18" t="e">
        <f>ROUND(ROUND($O$101,4)*_RLZ3+ROUND($P$101,2),2)</f>
        <v>#REF!</v>
      </c>
      <c r="O185" s="18" t="e">
        <f>ROUND(ROUND($Q$101,4)*_RLZ3+ROUND($R$101,2),2)</f>
        <v>#REF!</v>
      </c>
      <c r="P185" s="18" t="e">
        <f>ROUND(ROUND($S$101,4)*_RLZ3+ROUND($T$101,2),2)</f>
        <v>#REF!</v>
      </c>
      <c r="Q185" s="18" t="e">
        <f>ROUND(ROUND($U$103,4)*_RLZ3+ROUND($V$103,2),2)</f>
        <v>#REF!</v>
      </c>
      <c r="R185" s="18" t="e">
        <f>ROUND(ROUND($W$101,4)*_RLZ3+ROUND($X$101,2),2)</f>
        <v>#REF!</v>
      </c>
      <c r="S185" s="31" t="e">
        <f>ROUND(ROUND($Y$101,4)*_RLZ3+ROUND($Z$101,2),2)</f>
        <v>#REF!</v>
      </c>
      <c r="U185" s="96"/>
      <c r="V185" s="306" t="s">
        <v>138</v>
      </c>
      <c r="W185" s="257" t="e">
        <f>W177</f>
        <v>#REF!</v>
      </c>
      <c r="X185" s="64" t="e">
        <f>X177</f>
        <v>#REF!</v>
      </c>
      <c r="Y185" s="257" t="e">
        <f>IF(X177="n.v.","n.v.",ROUND(VLOOKUP(X174,$L$184:$S$193,X173+1),4))</f>
        <v>#REF!</v>
      </c>
      <c r="AA185" s="29"/>
      <c r="AB185" s="220"/>
    </row>
    <row r="186" spans="11:28" x14ac:dyDescent="0.2">
      <c r="K186" s="574"/>
      <c r="L186" s="20" t="s">
        <v>203</v>
      </c>
      <c r="M186" s="284" t="e">
        <f>ROUND(ROUND(ROUND($M$104,4)*_RLZ3+ROUND($N$104,2),2)*(1-CE_3)+$M$137*CE_3,2)</f>
        <v>#REF!</v>
      </c>
      <c r="N186" s="21" t="e">
        <f>ROUND(ROUND(ROUND($O$104,4)*_RLZ3+ROUND($P$104,2),2)*(1-CE_3)+N$137*CE_3,2)</f>
        <v>#REF!</v>
      </c>
      <c r="O186" s="21" t="e">
        <f>ROUND(ROUND(ROUND($Q$104,4)*_RLZ3+ROUND($R$104,2),2)*(1-CE_3)+$O185*CE_3,2)</f>
        <v>#REF!</v>
      </c>
      <c r="P186" s="21" t="e">
        <f>ROUND(ROUND(ROUND($S$104,4)*_RLZ3+ROUND($T$104,2),2)*(1-CE_3)+$P185*CE_3,2)</f>
        <v>#REF!</v>
      </c>
      <c r="Q186" s="21" t="e">
        <f>ROUND(ROUND(ROUND($U$104,4)*_RLZ3+ROUND($V$104,2),2)*(1-CE_3)+$Q185*CE_3,2)</f>
        <v>#REF!</v>
      </c>
      <c r="R186" s="21" t="e">
        <f>ROUND(ROUND(ROUND($W$104,4)*_RLZ3+ROUND($X$104,2),2)*(1-CE_3)+$R185*CE_3,2)</f>
        <v>#REF!</v>
      </c>
      <c r="S186" s="22" t="e">
        <f>ROUND(ROUND(ROUND($Y$104,4)*_RLZ3+ROUND($Z$104,2),2)*(1-CE_3)+$S185*CE_3,2)</f>
        <v>#REF!</v>
      </c>
      <c r="U186" s="64"/>
      <c r="V186" s="64"/>
      <c r="W186" s="64"/>
      <c r="X186" s="64"/>
      <c r="Y186" s="64"/>
      <c r="AA186" s="29"/>
      <c r="AB186" s="220"/>
    </row>
    <row r="187" spans="11:28" ht="13.9" customHeight="1" x14ac:dyDescent="0.2">
      <c r="K187" s="574"/>
      <c r="L187" s="20" t="s">
        <v>204</v>
      </c>
      <c r="M187" s="284" t="e">
        <f>ROUND(ROUND(ROUND($M$105,4)*_RLZ3+ROUND($N$105,2),2)*(1-CE_3)+$M$137*CE_3,2)</f>
        <v>#REF!</v>
      </c>
      <c r="N187" s="21" t="e">
        <f>ROUND(ROUND(ROUND($O$105,4)*_RLZ3+ROUND($P$105,2),2)*(1-CE_3)+$N185*CE_3,2)</f>
        <v>#REF!</v>
      </c>
      <c r="O187" s="21" t="e">
        <f>ROUND(ROUND(ROUND($Q$105,4)*_RLZ3+ROUND($R$105,2),2)*(1-CE_3)+$O185*CE_3,2)</f>
        <v>#REF!</v>
      </c>
      <c r="P187" s="21" t="e">
        <f>ROUND(ROUND(ROUND($S$105,4)*_RLZ3+ROUND($T$105,2),2)*(1-CE_3)+$P185*CE_3,2)</f>
        <v>#REF!</v>
      </c>
      <c r="Q187" s="21" t="e">
        <f>ROUND(ROUND(ROUND($U$105,4)*_RLZ3+ROUND($V$105,2),2)*(1-CE_3)+$Q185*CE_3,2)</f>
        <v>#REF!</v>
      </c>
      <c r="R187" s="21" t="e">
        <f>ROUND(ROUND(ROUND($W$105,4)*_RLZ3+ROUND($X$105,2),2)*(1-CE_3)+$R185*CE_3,2)</f>
        <v>#REF!</v>
      </c>
      <c r="S187" s="22" t="e">
        <f>ROUND(ROUND(ROUND($Y$105,4)*_RLZ3+ROUND($Z$105,2),2)*(1-CE_3)+$S185*CE_3,2)</f>
        <v>#REF!</v>
      </c>
      <c r="U187" s="64"/>
      <c r="V187" s="64"/>
      <c r="W187" s="64"/>
      <c r="X187" s="64"/>
      <c r="Y187" s="64"/>
      <c r="AA187" s="29"/>
      <c r="AB187" s="220"/>
    </row>
    <row r="188" spans="11:28" ht="13.15" customHeight="1" x14ac:dyDescent="0.2">
      <c r="K188" s="574"/>
      <c r="L188" s="20" t="s">
        <v>205</v>
      </c>
      <c r="M188" s="284" t="e">
        <f>ROUND(ROUND(ROUND($M$106,4)*_RLZ3+ROUND($N$106,2),2)*(1-CE_3)+$M$137*CE_3,2)</f>
        <v>#REF!</v>
      </c>
      <c r="N188" s="21" t="e">
        <f>ROUND(ROUND(ROUND($O$106,4)*_RLZ3+ROUND($P$106,2),2)*(1-CE_3)+$N185*CE_3,2)</f>
        <v>#REF!</v>
      </c>
      <c r="O188" s="21" t="e">
        <f>ROUND(ROUND(ROUND($Q$106,4)*_RLZ3+ROUND($R$106,2),2)*(1-CE_3)+$O185*CE_3,2)</f>
        <v>#REF!</v>
      </c>
      <c r="P188" s="21" t="e">
        <f>ROUND(ROUND(ROUND($S$106,4)*_RLZ3+ROUND($T$106,2),2)*(1-CE_3)+$P185*CE_3,2)</f>
        <v>#REF!</v>
      </c>
      <c r="Q188" s="21" t="e">
        <f>ROUND(ROUND(ROUND($U$106,4)*_RLZ3+ROUND($V$106,2),2)*(1-CE_3)+$Q185*CE_3,2)</f>
        <v>#REF!</v>
      </c>
      <c r="R188" s="21" t="e">
        <f>ROUND(ROUND(ROUND($W$106,4)*_RLZ3+ROUND($X$106,2),2)*(1-CE_3)+$R185*CE_3,2)</f>
        <v>#REF!</v>
      </c>
      <c r="S188" s="22" t="s">
        <v>21</v>
      </c>
      <c r="U188" s="64"/>
      <c r="V188" s="64"/>
      <c r="W188" s="64"/>
      <c r="X188" s="64"/>
      <c r="Y188" s="64"/>
      <c r="AA188" s="29"/>
      <c r="AB188" s="220"/>
    </row>
    <row r="189" spans="11:28" ht="13.15" customHeight="1" x14ac:dyDescent="0.2">
      <c r="K189" s="574"/>
      <c r="L189" s="20" t="s">
        <v>206</v>
      </c>
      <c r="M189" s="284" t="e">
        <f>ROUND(ROUND(ROUND($M$107,4)*_RLZ3+ROUND($N$107,2),2)*(1-CE_3)+$M$137*CE_3,2)</f>
        <v>#REF!</v>
      </c>
      <c r="N189" s="21" t="e">
        <f>ROUND(ROUND(ROUND($O$107,4)*_RLZ3+ROUND($P$107,2),2)*(1-CE_3)+$N185*CE_3,2)</f>
        <v>#REF!</v>
      </c>
      <c r="O189" s="21" t="e">
        <f>ROUND(ROUND(ROUND($Q$107,4)*_RLZ3+ROUND($R$107,2),2)*(1-CE_3)+$O185*CE_3,2)</f>
        <v>#REF!</v>
      </c>
      <c r="P189" s="21" t="e">
        <f>ROUND(ROUND(ROUND($S$107,4)*_RLZ3+ROUND($T$107,2),2)*(1-CE_3)+$P185*CE_3,2)</f>
        <v>#REF!</v>
      </c>
      <c r="Q189" s="21" t="e">
        <f>ROUND(ROUND(ROUND($U$107,4)*_RLZ3+ROUND($V$107,4),2)*(1-CE_3)+Q$174*CE_3,2)</f>
        <v>#REF!</v>
      </c>
      <c r="R189" s="21" t="s">
        <v>21</v>
      </c>
      <c r="S189" s="22" t="s">
        <v>21</v>
      </c>
      <c r="U189" s="64"/>
      <c r="V189" s="64"/>
      <c r="W189" s="64"/>
      <c r="X189" s="64"/>
      <c r="Y189" s="64"/>
      <c r="AA189" s="29"/>
      <c r="AB189" s="220"/>
    </row>
    <row r="190" spans="11:28" ht="13.5" thickBot="1" x14ac:dyDescent="0.25">
      <c r="K190" s="574"/>
      <c r="L190" s="23" t="s">
        <v>207</v>
      </c>
      <c r="M190" s="284" t="e">
        <f>ROUND(ROUND(ROUND($M$108,4)*_RLZ3+ROUND($N$108,2),2)*(1-CE_3)+$M174*CE_3,2)</f>
        <v>#REF!</v>
      </c>
      <c r="N190" s="21" t="e">
        <f>ROUND(ROUND(ROUND($O$108,4)*_RLZ3+ROUND($P$108,2),2)*(1-CE_3)+$N174*CE_3,2)</f>
        <v>#REF!</v>
      </c>
      <c r="O190" s="21" t="e">
        <f>ROUND(ROUND(ROUND($Q$108,4)*_RLZ3+ROUND($R$108,2),2)*(1-CE_3)+O$174*CE_3,2)</f>
        <v>#REF!</v>
      </c>
      <c r="P190" s="21" t="e">
        <f>ROUND(ROUND(ROUND($S$108,4)*_RLZ3+ROUND($T$108,2),2)*(1-CE_3)+P$174*CE_3,2)</f>
        <v>#REF!</v>
      </c>
      <c r="Q190" s="21" t="s">
        <v>21</v>
      </c>
      <c r="R190" s="21" t="s">
        <v>21</v>
      </c>
      <c r="S190" s="22" t="s">
        <v>21</v>
      </c>
      <c r="U190" s="64"/>
      <c r="V190" s="64"/>
      <c r="W190" s="64"/>
      <c r="X190" s="64"/>
      <c r="Y190" s="64"/>
      <c r="AA190" s="29"/>
      <c r="AB190" s="220"/>
    </row>
    <row r="191" spans="11:28" x14ac:dyDescent="0.2">
      <c r="K191" s="574"/>
      <c r="L191" s="34" t="s">
        <v>15</v>
      </c>
      <c r="M191" s="284" t="e">
        <f t="shared" ref="M191:S193" si="35">M180</f>
        <v>#REF!</v>
      </c>
      <c r="N191" s="21" t="e">
        <f t="shared" si="35"/>
        <v>#REF!</v>
      </c>
      <c r="O191" s="21" t="e">
        <f t="shared" si="35"/>
        <v>#REF!</v>
      </c>
      <c r="P191" s="21" t="e">
        <f t="shared" si="35"/>
        <v>#REF!</v>
      </c>
      <c r="Q191" s="21" t="e">
        <f t="shared" si="35"/>
        <v>#REF!</v>
      </c>
      <c r="R191" s="21" t="e">
        <f t="shared" si="35"/>
        <v>#REF!</v>
      </c>
      <c r="S191" s="22" t="e">
        <f t="shared" si="35"/>
        <v>#REF!</v>
      </c>
      <c r="U191" s="64"/>
      <c r="V191" s="64"/>
      <c r="W191" s="64"/>
      <c r="X191" s="64"/>
      <c r="Y191" s="64"/>
      <c r="AA191" s="29"/>
      <c r="AB191" s="220"/>
    </row>
    <row r="192" spans="11:28" x14ac:dyDescent="0.2">
      <c r="K192" s="574"/>
      <c r="L192" s="20" t="s">
        <v>17</v>
      </c>
      <c r="M192" s="284" t="e">
        <f t="shared" si="35"/>
        <v>#REF!</v>
      </c>
      <c r="N192" s="21" t="e">
        <f t="shared" si="35"/>
        <v>#REF!</v>
      </c>
      <c r="O192" s="21" t="e">
        <f t="shared" si="35"/>
        <v>#REF!</v>
      </c>
      <c r="P192" s="21" t="e">
        <f t="shared" si="35"/>
        <v>#REF!</v>
      </c>
      <c r="Q192" s="21" t="e">
        <f t="shared" si="35"/>
        <v>#REF!</v>
      </c>
      <c r="R192" s="21" t="e">
        <f t="shared" si="35"/>
        <v>#REF!</v>
      </c>
      <c r="S192" s="22" t="e">
        <f t="shared" si="35"/>
        <v>#REF!</v>
      </c>
      <c r="U192" s="64"/>
      <c r="V192" s="64"/>
      <c r="W192" s="64"/>
      <c r="X192" s="64"/>
      <c r="Y192" s="64"/>
      <c r="AA192" s="29"/>
      <c r="AB192" s="220"/>
    </row>
    <row r="193" spans="10:28" ht="13.5" thickBot="1" x14ac:dyDescent="0.25">
      <c r="K193" s="575"/>
      <c r="L193" s="23" t="s">
        <v>7</v>
      </c>
      <c r="M193" s="288" t="e">
        <f t="shared" si="35"/>
        <v>#REF!</v>
      </c>
      <c r="N193" s="24" t="e">
        <f t="shared" si="35"/>
        <v>#REF!</v>
      </c>
      <c r="O193" s="24" t="e">
        <f t="shared" si="35"/>
        <v>#REF!</v>
      </c>
      <c r="P193" s="24" t="e">
        <f t="shared" si="35"/>
        <v>#REF!</v>
      </c>
      <c r="Q193" s="24" t="e">
        <f t="shared" si="35"/>
        <v>#REF!</v>
      </c>
      <c r="R193" s="24" t="e">
        <f t="shared" si="35"/>
        <v>#REF!</v>
      </c>
      <c r="S193" s="25" t="e">
        <f t="shared" si="35"/>
        <v>#REF!</v>
      </c>
      <c r="U193" s="64"/>
      <c r="V193" s="64"/>
      <c r="W193" s="64"/>
      <c r="X193" s="64"/>
      <c r="Y193" s="64"/>
      <c r="AA193" s="29"/>
      <c r="AB193" s="220"/>
    </row>
    <row r="194" spans="10:28" x14ac:dyDescent="0.2">
      <c r="J194" s="302"/>
      <c r="K194" s="264"/>
      <c r="L194" s="264"/>
      <c r="M194" s="264"/>
      <c r="N194" s="264"/>
      <c r="O194" s="264"/>
      <c r="P194" s="264"/>
      <c r="Q194" s="264"/>
      <c r="R194" s="264"/>
      <c r="S194" s="264"/>
      <c r="T194" s="264"/>
      <c r="U194" s="303"/>
      <c r="V194" s="303"/>
      <c r="W194" s="303"/>
      <c r="X194" s="303"/>
      <c r="Y194" s="303"/>
      <c r="Z194" s="305"/>
      <c r="AA194" s="29"/>
      <c r="AB194" s="220"/>
    </row>
    <row r="195" spans="10:28" ht="13.9" customHeight="1" thickBot="1" x14ac:dyDescent="0.25">
      <c r="M195" s="27"/>
      <c r="U195" s="64"/>
      <c r="V195" s="64"/>
      <c r="W195" s="64"/>
      <c r="X195" s="64"/>
      <c r="Y195" s="64"/>
      <c r="AA195" s="29"/>
      <c r="AB195" s="220"/>
    </row>
    <row r="196" spans="10:28" ht="13.5" thickBot="1" x14ac:dyDescent="0.25">
      <c r="K196" s="41" t="s">
        <v>32</v>
      </c>
      <c r="L196" s="43"/>
      <c r="M196" s="290"/>
      <c r="N196" s="290"/>
      <c r="O196" s="290"/>
      <c r="P196" s="290"/>
      <c r="Q196" s="290"/>
      <c r="R196" s="290"/>
      <c r="S196" s="291"/>
      <c r="U196" s="35"/>
      <c r="Y196" s="282" t="s">
        <v>27</v>
      </c>
      <c r="AA196" s="29"/>
      <c r="AB196" s="220"/>
    </row>
    <row r="197" spans="10:28" ht="13.5" thickBot="1" x14ac:dyDescent="0.25">
      <c r="K197" s="30" t="s">
        <v>25</v>
      </c>
      <c r="L197" s="19" t="s">
        <v>13</v>
      </c>
      <c r="M197" s="15">
        <v>1</v>
      </c>
      <c r="N197" s="15">
        <v>2</v>
      </c>
      <c r="O197" s="15">
        <v>3</v>
      </c>
      <c r="P197" s="15">
        <v>4</v>
      </c>
      <c r="Q197" s="15">
        <v>5</v>
      </c>
      <c r="R197" s="15">
        <v>6</v>
      </c>
      <c r="S197" s="16">
        <v>7</v>
      </c>
      <c r="U197" s="43" t="s">
        <v>32</v>
      </c>
      <c r="V197" s="43" t="s">
        <v>14</v>
      </c>
      <c r="W197" s="43"/>
      <c r="X197" s="261" t="e">
        <f>#REF!</f>
        <v>#REF!</v>
      </c>
      <c r="Y197" s="42" t="e">
        <f>#REF!</f>
        <v>#REF!</v>
      </c>
      <c r="Z197" s="285" t="s">
        <v>28</v>
      </c>
      <c r="AA197" s="29"/>
      <c r="AB197" s="220"/>
    </row>
    <row r="198" spans="10:28" ht="13.15" customHeight="1" thickBot="1" x14ac:dyDescent="0.25">
      <c r="K198" s="573" t="str">
        <f>$K$114</f>
        <v>OECD-Prämiensystem
&lt; 2 Jahre ohne CE</v>
      </c>
      <c r="L198" s="17" t="s">
        <v>202</v>
      </c>
      <c r="M198" s="301" t="e">
        <f>ROUND(ROUND($M$101,4)*_RLZ4+ROUND($N$101,4),2)</f>
        <v>#REF!</v>
      </c>
      <c r="N198" s="18" t="e">
        <f>ROUND(ROUND($O$101,4)*_RLZ4+ROUND($P$101,2),2)</f>
        <v>#REF!</v>
      </c>
      <c r="O198" s="18" t="e">
        <f>ROUND(ROUND($Q$101,4)*_RLZ4+ROUND($R$101,2),2)</f>
        <v>#REF!</v>
      </c>
      <c r="P198" s="18" t="e">
        <f>ROUND(ROUND($S$101,4)*_RLZ4+ROUND($T$101,4),2)</f>
        <v>#REF!</v>
      </c>
      <c r="Q198" s="18" t="e">
        <f>ROUND(ROUND($U$103,4)*_RLZ4+ROUND($V$103,2),2)</f>
        <v>#REF!</v>
      </c>
      <c r="R198" s="18" t="e">
        <f>ROUND(ROUND($W$101,4)*_RLZ4+ROUND($X$101,2),2)</f>
        <v>#REF!</v>
      </c>
      <c r="S198" s="31" t="e">
        <f>ROUND(ROUND($Y$103,4)*_RLZ4+ROUND($Z$103,2),2)</f>
        <v>#REF!</v>
      </c>
      <c r="U198" s="286" t="e">
        <f>CE_4</f>
        <v>#REF!</v>
      </c>
      <c r="V198" s="32" t="s">
        <v>16</v>
      </c>
      <c r="W198" s="32"/>
      <c r="X198" s="269" t="e">
        <f>#REF!</f>
        <v>#REF!</v>
      </c>
      <c r="Y198" s="32" t="s">
        <v>29</v>
      </c>
      <c r="Z198" s="287" t="e">
        <f>IF(X198="n.v.","n.v.",Y205)</f>
        <v>#REF!</v>
      </c>
      <c r="AA198" s="29"/>
      <c r="AB198" s="220"/>
    </row>
    <row r="199" spans="10:28" x14ac:dyDescent="0.2">
      <c r="K199" s="574"/>
      <c r="L199" s="20" t="s">
        <v>203</v>
      </c>
      <c r="M199" s="284" t="e">
        <f>ROUND(ROUND($M$104,4)*_RLZ4+ROUND($N$104,2),2)</f>
        <v>#REF!</v>
      </c>
      <c r="N199" s="21" t="e">
        <f>ROUND(ROUND($O$104,4)*_RLZ4+ROUND($P$104,2),2)</f>
        <v>#REF!</v>
      </c>
      <c r="O199" s="21" t="e">
        <f>ROUND(ROUND($Q$104,4)*_RLZ4+ROUND($R$104,2),2)</f>
        <v>#REF!</v>
      </c>
      <c r="P199" s="21" t="e">
        <f>ROUND(ROUND($S$104,4)*_RLZ4+ROUND($T$104,2),2)</f>
        <v>#REF!</v>
      </c>
      <c r="Q199" s="21" t="e">
        <f>ROUND(ROUND($U$104,4)*_RLZ4+ROUND($V$104,2),2)</f>
        <v>#REF!</v>
      </c>
      <c r="R199" s="21" t="e">
        <f>ROUND(ROUND($W$104,4)*_RLZ4+ROUND($X$104,2),2)</f>
        <v>#REF!</v>
      </c>
      <c r="S199" s="22" t="e">
        <f>ROUND(ROUND($Y$104,4)*_RLZ4+ROUND($Z$104,2),2)</f>
        <v>#REF!</v>
      </c>
      <c r="AA199" s="29"/>
      <c r="AB199" s="220"/>
    </row>
    <row r="200" spans="10:28" x14ac:dyDescent="0.2">
      <c r="K200" s="574"/>
      <c r="L200" s="20" t="s">
        <v>204</v>
      </c>
      <c r="M200" s="284" t="e">
        <f>ROUND(ROUND($M$105,4)*_RLZ4+ROUND($N$105,2),2)</f>
        <v>#REF!</v>
      </c>
      <c r="N200" s="21" t="e">
        <f>ROUND(ROUND($O$105,4)*_RLZ4+ROUND($P$105,2),2)</f>
        <v>#REF!</v>
      </c>
      <c r="O200" s="21" t="e">
        <f>ROUND(ROUND($Q$105,4)*_RLZ4+ROUND($R$105,2),2)</f>
        <v>#REF!</v>
      </c>
      <c r="P200" s="21" t="e">
        <f>ROUND(ROUND($S$105,4)*_RLZ4+ROUND($T$105,2),2)</f>
        <v>#REF!</v>
      </c>
      <c r="Q200" s="21" t="e">
        <f>ROUND(ROUND($U$105,4)*_RLZ4+ROUND($V$105,4),2)</f>
        <v>#REF!</v>
      </c>
      <c r="R200" s="21" t="e">
        <f>ROUND(ROUND($W$105,4)*_RLZ4+ROUND($X$105,2),2)</f>
        <v>#REF!</v>
      </c>
      <c r="S200" s="22" t="e">
        <f>ROUND(ROUND($Y$105,4)*_RLZ4+ROUND($Z$105,2),2)</f>
        <v>#REF!</v>
      </c>
      <c r="U200" s="64"/>
      <c r="V200" s="96" t="s">
        <v>126</v>
      </c>
      <c r="W200" s="64"/>
      <c r="X200" s="64"/>
      <c r="Y200" s="64"/>
      <c r="AA200" s="29"/>
      <c r="AB200" s="220"/>
    </row>
    <row r="201" spans="10:28" x14ac:dyDescent="0.2">
      <c r="K201" s="574"/>
      <c r="L201" s="20" t="s">
        <v>205</v>
      </c>
      <c r="M201" s="284" t="e">
        <f>ROUND(ROUND($M$106,4)*_RLZ4+ROUND($N$106,2),2)</f>
        <v>#REF!</v>
      </c>
      <c r="N201" s="21" t="e">
        <f>ROUND(ROUND($O$106,4)*_RLZ4+ROUND($P$106,2),2)</f>
        <v>#REF!</v>
      </c>
      <c r="O201" s="21" t="e">
        <f>ROUND(ROUND($Q$106,4)*_RLZ4+ROUND($R$106,2),2)</f>
        <v>#REF!</v>
      </c>
      <c r="P201" s="21" t="e">
        <f>ROUND(ROUND($S$106,4)*_RLZ4+ROUND($T$106,2),2)</f>
        <v>#REF!</v>
      </c>
      <c r="Q201" s="21" t="e">
        <f>ROUND(ROUND($U$106,4)*_RLZ4+ROUND($V$106,2),2)</f>
        <v>#REF!</v>
      </c>
      <c r="R201" s="21" t="e">
        <f>ROUND(ROUND($W$106,4)*_RLZ4+ROUND($X$106,2),2)</f>
        <v>#REF!</v>
      </c>
      <c r="S201" s="22" t="s">
        <v>21</v>
      </c>
      <c r="U201" s="64"/>
      <c r="V201" s="96" t="s">
        <v>127</v>
      </c>
      <c r="W201" s="257" t="e">
        <f>X197</f>
        <v>#REF!</v>
      </c>
      <c r="X201" s="64" t="e">
        <f>X198</f>
        <v>#REF!</v>
      </c>
      <c r="Y201" s="257" t="e">
        <f>IF(X201="n.v.","n.v.",ROUND(VLOOKUP(X201,L197:S206,W201+1),2))</f>
        <v>#REF!</v>
      </c>
      <c r="AA201" s="29"/>
      <c r="AB201" s="220"/>
    </row>
    <row r="202" spans="10:28" ht="13.15" customHeight="1" x14ac:dyDescent="0.2">
      <c r="K202" s="574"/>
      <c r="L202" s="20" t="s">
        <v>206</v>
      </c>
      <c r="M202" s="284" t="e">
        <f>ROUND(ROUND($M$107,4)*_RLZ4+ROUND($N$107,2),2)</f>
        <v>#REF!</v>
      </c>
      <c r="N202" s="21" t="e">
        <f>ROUND(ROUND($O$107,4)*_RLZ4+ROUND($P$107,2),2)</f>
        <v>#REF!</v>
      </c>
      <c r="O202" s="21" t="e">
        <f>ROUND(ROUND($Q$107,4)*_RLZ4+ROUND($R$107,2),2)</f>
        <v>#REF!</v>
      </c>
      <c r="P202" s="21" t="e">
        <f>ROUND(ROUND($S$107,4)*_RLZ4+ROUND($T$107,2),2)</f>
        <v>#REF!</v>
      </c>
      <c r="Q202" s="21" t="e">
        <f>ROUND(ROUND($U$107,4)*_RLZ4+ROUND($V$107,4),2)</f>
        <v>#REF!</v>
      </c>
      <c r="R202" s="21" t="s">
        <v>21</v>
      </c>
      <c r="S202" s="22" t="s">
        <v>21</v>
      </c>
      <c r="U202" s="64"/>
      <c r="V202" s="96" t="s">
        <v>127</v>
      </c>
      <c r="W202" s="257" t="e">
        <f>W201</f>
        <v>#REF!</v>
      </c>
      <c r="X202" s="64" t="s">
        <v>10</v>
      </c>
      <c r="Y202" s="257" t="e">
        <f>ROUND(VLOOKUP(X202,L197:S206,W202+1),2)</f>
        <v>#REF!</v>
      </c>
      <c r="AA202" s="29"/>
      <c r="AB202" s="220"/>
    </row>
    <row r="203" spans="10:28" ht="13.9" customHeight="1" thickBot="1" x14ac:dyDescent="0.25">
      <c r="K203" s="574"/>
      <c r="L203" s="23" t="s">
        <v>207</v>
      </c>
      <c r="M203" s="284" t="e">
        <f>ROUND(ROUND($M$108,4)*_RLZ4+ROUND($N$108,2),2)</f>
        <v>#REF!</v>
      </c>
      <c r="N203" s="21" t="e">
        <f>ROUND(ROUND($O$108,4)*_RLZ4+ROUND($P$108,2),2)</f>
        <v>#REF!</v>
      </c>
      <c r="O203" s="21" t="e">
        <f>ROUND(ROUND($Q$108,4)*_RLZ4+ROUND($R$108,2),2)</f>
        <v>#REF!</v>
      </c>
      <c r="P203" s="21" t="e">
        <f>ROUND(ROUND($S$108,4)*_RLZ4+ROUND($T$108,2),2)</f>
        <v>#REF!</v>
      </c>
      <c r="Q203" s="21" t="s">
        <v>21</v>
      </c>
      <c r="R203" s="21" t="s">
        <v>21</v>
      </c>
      <c r="S203" s="22" t="s">
        <v>21</v>
      </c>
      <c r="U203" s="64"/>
      <c r="V203" s="64" t="s">
        <v>128</v>
      </c>
      <c r="W203" s="64"/>
      <c r="X203" s="64"/>
      <c r="Y203" s="257" t="e">
        <f>Y201-Y202</f>
        <v>#REF!</v>
      </c>
      <c r="AA203" s="29"/>
      <c r="AB203" s="220"/>
    </row>
    <row r="204" spans="10:28" x14ac:dyDescent="0.2">
      <c r="K204" s="574"/>
      <c r="L204" s="34" t="s">
        <v>15</v>
      </c>
      <c r="M204" s="284" t="e">
        <f>ROUND(ROUND($M$101,4)*_RLZ4+ROUND($N$101,2),2)</f>
        <v>#REF!</v>
      </c>
      <c r="N204" s="21" t="e">
        <f>ROUND(ROUND($O$101,4)*_RLZ4+ROUND($P$101,2),2)</f>
        <v>#REF!</v>
      </c>
      <c r="O204" s="21" t="e">
        <f>ROUND(ROUND($Q$101,4)*_RLZ4+ROUND($R$101,2),2)</f>
        <v>#REF!</v>
      </c>
      <c r="P204" s="21" t="e">
        <f>ROUND(ROUND($S101,4)*_RLZ4+ROUND($T101,2),2)</f>
        <v>#REF!</v>
      </c>
      <c r="Q204" s="21" t="e">
        <f>ROUND(ROUND($U101,4)*_RLZ4+ROUND($V101,2),2)</f>
        <v>#REF!</v>
      </c>
      <c r="R204" s="21" t="e">
        <f>ROUND(ROUND($W101,4)*_RLZ4+ROUND($X101,2),2)</f>
        <v>#REF!</v>
      </c>
      <c r="S204" s="22" t="e">
        <f>ROUND(ROUND($Y101,4)*_RLZ4+ROUND($Z101,2),2)</f>
        <v>#REF!</v>
      </c>
      <c r="U204" s="64"/>
      <c r="V204" s="96" t="s">
        <v>129</v>
      </c>
      <c r="W204" s="262" t="e">
        <f>U198</f>
        <v>#REF!</v>
      </c>
      <c r="X204" s="64"/>
      <c r="Y204" s="257" t="e">
        <f>ROUNDDOWN(Y203*W204,2)</f>
        <v>#REF!</v>
      </c>
      <c r="AA204" s="29"/>
      <c r="AB204" s="220"/>
    </row>
    <row r="205" spans="10:28" x14ac:dyDescent="0.2">
      <c r="K205" s="574"/>
      <c r="L205" s="20" t="s">
        <v>17</v>
      </c>
      <c r="M205" s="284" t="e">
        <f>ROUND(ROUND($M$102,4)*_RLZ4+ROUND($N$102,2),2)</f>
        <v>#REF!</v>
      </c>
      <c r="N205" s="21" t="e">
        <f>ROUND(ROUND($O$102,4)*_RLZ4+ROUND($P$102,2),2)</f>
        <v>#REF!</v>
      </c>
      <c r="O205" s="21" t="e">
        <f>ROUND(ROUND($Q$102,4)*_RLZ4+ROUND($R$102,2),2)</f>
        <v>#REF!</v>
      </c>
      <c r="P205" s="21" t="e">
        <f>ROUND(ROUND($S102,4)*_RLZ4+ROUND($T102,2),2)</f>
        <v>#REF!</v>
      </c>
      <c r="Q205" s="21" t="e">
        <f>ROUND(ROUND($U102,4)*_RLZ4+ROUND($V102,2),2)</f>
        <v>#REF!</v>
      </c>
      <c r="R205" s="21" t="e">
        <f>ROUND(ROUND($W102,4)*_RLZ4+ROUND($X102,2),2)</f>
        <v>#REF!</v>
      </c>
      <c r="S205" s="22" t="e">
        <f>ROUND(ROUND($Y102,4)*_RLZ4+ROUND($Z102,2),2)</f>
        <v>#REF!</v>
      </c>
      <c r="T205" s="576" t="s">
        <v>135</v>
      </c>
      <c r="U205" s="577"/>
      <c r="V205" s="577"/>
      <c r="W205" s="257" t="e">
        <f>W201</f>
        <v>#REF!</v>
      </c>
      <c r="X205" s="64" t="e">
        <f>X201</f>
        <v>#REF!</v>
      </c>
      <c r="Y205" s="257" t="e">
        <f>IF(X201="n.v.","n.v.",Y201-Y204)</f>
        <v>#REF!</v>
      </c>
      <c r="AA205" s="29"/>
      <c r="AB205" s="220"/>
    </row>
    <row r="206" spans="10:28" ht="13.5" thickBot="1" x14ac:dyDescent="0.25">
      <c r="K206" s="575"/>
      <c r="L206" s="23" t="s">
        <v>7</v>
      </c>
      <c r="M206" s="288" t="e">
        <f>ROUND(ROUND($M$100,4)*_RLZ4+ROUND($N$100,2),2)</f>
        <v>#REF!</v>
      </c>
      <c r="N206" s="24" t="e">
        <f>ROUND(ROUND($O$100,4)*_RLZ4+ROUND($P$100,2),2)</f>
        <v>#REF!</v>
      </c>
      <c r="O206" s="24" t="e">
        <f>ROUND(ROUND($Q$100,4)*_RLZ4+ROUND($R$100,2),2)</f>
        <v>#REF!</v>
      </c>
      <c r="P206" s="21" t="e">
        <f>ROUND(ROUND($S100,4)*_RLZ4+ROUND($T100,2),2)</f>
        <v>#REF!</v>
      </c>
      <c r="Q206" s="21" t="e">
        <f>ROUND(ROUND($U100,4)*_RLZ4+ROUND($V100,2),2)</f>
        <v>#REF!</v>
      </c>
      <c r="R206" s="21" t="e">
        <f>ROUND(ROUND($W100,4)*_RLZ4+ROUND($X100,2),2)</f>
        <v>#REF!</v>
      </c>
      <c r="S206" s="22" t="e">
        <f>ROUND(ROUND($Y100,4)*_RLZ4+ROUND($Z100,2),2)</f>
        <v>#REF!</v>
      </c>
      <c r="U206" s="64"/>
      <c r="V206" s="64"/>
      <c r="W206" s="64"/>
      <c r="X206" s="64"/>
      <c r="Y206" s="64"/>
      <c r="AA206" s="29"/>
      <c r="AB206" s="220"/>
    </row>
    <row r="207" spans="10:28" ht="13.5" thickBot="1" x14ac:dyDescent="0.25">
      <c r="K207" s="41" t="s">
        <v>32</v>
      </c>
      <c r="L207" s="43"/>
      <c r="M207" s="290"/>
      <c r="N207" s="290"/>
      <c r="O207" s="290"/>
      <c r="P207" s="290"/>
      <c r="Q207" s="290"/>
      <c r="R207" s="290"/>
      <c r="S207" s="291"/>
      <c r="U207" s="64"/>
      <c r="V207" s="64"/>
      <c r="W207" s="64"/>
      <c r="X207" s="64"/>
      <c r="Y207" s="64"/>
      <c r="AA207" s="29"/>
      <c r="AB207" s="220"/>
    </row>
    <row r="208" spans="10:28" ht="13.5" thickBot="1" x14ac:dyDescent="0.25">
      <c r="K208" s="30" t="s">
        <v>25</v>
      </c>
      <c r="L208" s="19" t="s">
        <v>13</v>
      </c>
      <c r="M208" s="15">
        <v>1</v>
      </c>
      <c r="N208" s="15">
        <v>2</v>
      </c>
      <c r="O208" s="15">
        <v>3</v>
      </c>
      <c r="P208" s="15">
        <v>4</v>
      </c>
      <c r="Q208" s="15">
        <v>5</v>
      </c>
      <c r="R208" s="15">
        <v>6</v>
      </c>
      <c r="S208" s="16">
        <v>7</v>
      </c>
      <c r="U208" s="64"/>
      <c r="V208" s="64"/>
      <c r="W208" s="64"/>
      <c r="X208" s="64"/>
      <c r="Y208" s="64"/>
      <c r="AA208" s="29"/>
      <c r="AB208" s="220"/>
    </row>
    <row r="209" spans="10:28" ht="13.9" customHeight="1" x14ac:dyDescent="0.2">
      <c r="K209" s="573" t="str">
        <f>K185</f>
        <v>OECD-Prämiensystem
&lt; 2 Jahre mit CE</v>
      </c>
      <c r="L209" s="17" t="s">
        <v>202</v>
      </c>
      <c r="M209" s="301" t="e">
        <f>ROUND(ROUND($M$101,4)*_RLZ4+ROUND($N$101,4),2)</f>
        <v>#REF!</v>
      </c>
      <c r="N209" s="18" t="e">
        <f>ROUND(ROUND($O$101,4)*_RLZ4+ROUND($P$101,2),2)</f>
        <v>#REF!</v>
      </c>
      <c r="O209" s="18" t="e">
        <f>ROUND(ROUND($Q$101,4)*_RLZ4+ROUND($R$101,2),2)</f>
        <v>#REF!</v>
      </c>
      <c r="P209" s="18" t="e">
        <f>ROUND(ROUND($S$101,4)*_RLZ4+ROUND($T$101,4),2)</f>
        <v>#REF!</v>
      </c>
      <c r="Q209" s="18" t="e">
        <f>ROUND(ROUND($U$101,4)*_RLZ4+ROUND($V$101,2),2)</f>
        <v>#REF!</v>
      </c>
      <c r="R209" s="18" t="e">
        <f>ROUND(ROUND($W$101,4)*_RLZ4+ROUND($X$101,2),2)</f>
        <v>#REF!</v>
      </c>
      <c r="S209" s="31" t="e">
        <f>ROUND(ROUND($Y$101,4)*_RLZ4+ROUND($Z$101,2),2)</f>
        <v>#REF!</v>
      </c>
      <c r="U209" s="306"/>
      <c r="V209" s="306" t="s">
        <v>138</v>
      </c>
      <c r="W209" s="257" t="e">
        <f>W201</f>
        <v>#REF!</v>
      </c>
      <c r="X209" s="64" t="e">
        <f>X201</f>
        <v>#REF!</v>
      </c>
      <c r="Y209" s="257" t="e">
        <f>IF(X201="n.v.","n.v.",ROUND(VLOOKUP(X198,L208:S217,X197+1),4))</f>
        <v>#REF!</v>
      </c>
      <c r="AA209" s="29"/>
      <c r="AB209" s="220"/>
    </row>
    <row r="210" spans="10:28" x14ac:dyDescent="0.2">
      <c r="K210" s="574"/>
      <c r="L210" s="20" t="s">
        <v>203</v>
      </c>
      <c r="M210" s="284" t="e">
        <f>ROUND(ROUND(ROUND($M$104,4)*_RLZ4+ROUND($N$104,2),2)*(1-CE_4)+$M$137*CE_4,2)</f>
        <v>#REF!</v>
      </c>
      <c r="N210" s="21" t="e">
        <f>ROUND(ROUND(ROUND($O$104,4)*_RLZ4+ROUND($P$104,2),2)*(1-CE_4)+N$137*CE_4,2)</f>
        <v>#REF!</v>
      </c>
      <c r="O210" s="21" t="e">
        <f>ROUND(ROUND(ROUND($Q$104,4)*_RLZ4+ROUND($R$104,2),2)*(1-CE_4)+$O209*CE_4,2)</f>
        <v>#REF!</v>
      </c>
      <c r="P210" s="21" t="e">
        <f>ROUND(ROUND(ROUND($S$104,4)*_RLZ4+ROUND($T$104,2),2)*(1-CE_4)+$P209*CE_4,2)</f>
        <v>#REF!</v>
      </c>
      <c r="Q210" s="21" t="e">
        <f>ROUND(ROUND(ROUND($U$104,4)*_RLZ4+ROUND($V$104,2),2)*(1-CE_4)+$Q209*CE_4,2)</f>
        <v>#REF!</v>
      </c>
      <c r="R210" s="21" t="e">
        <f>ROUND(ROUND(ROUND($W$104,4)*_RLZ4+ROUND($X$104,2),2)*(1-CE_4)+$R209*CE_4,2)</f>
        <v>#REF!</v>
      </c>
      <c r="S210" s="22" t="e">
        <f>ROUND(ROUND(ROUND($Y$104,4)*_RLZ4+ROUND($Z$104,2),2)*(1-CE_4)+$S209*CE_4,2)</f>
        <v>#REF!</v>
      </c>
      <c r="U210" s="64"/>
      <c r="V210" s="64"/>
      <c r="W210" s="64"/>
      <c r="X210" s="64"/>
      <c r="Y210" s="64"/>
      <c r="AA210" s="29"/>
      <c r="AB210" s="220"/>
    </row>
    <row r="211" spans="10:28" ht="13.9" customHeight="1" x14ac:dyDescent="0.2">
      <c r="K211" s="574"/>
      <c r="L211" s="20" t="s">
        <v>204</v>
      </c>
      <c r="M211" s="284" t="e">
        <f>ROUND(ROUND(ROUND($M$105,4)*_RLZ4+ROUND($N$105,2),2)*(1-CE_4)+$M$137*CE_4,2)</f>
        <v>#REF!</v>
      </c>
      <c r="N211" s="21" t="e">
        <f>ROUND(ROUND(ROUND($O$105,4)*_RLZ4+ROUND($P$105,2),2)*(1-CE_4)+$N209*CE_4,2)</f>
        <v>#REF!</v>
      </c>
      <c r="O211" s="21" t="e">
        <f>ROUND(ROUND(ROUND($Q$105,4)*_RLZ4+ROUND($R$105,2),2)*(1-CE_4)+$O209*CE_4,2)</f>
        <v>#REF!</v>
      </c>
      <c r="P211" s="21" t="e">
        <f>ROUND(ROUND(ROUND($S$105,4)*_RLZ4+ROUND($T$105,2),2)*(1-CE_4)+$P209*CE_4,2)</f>
        <v>#REF!</v>
      </c>
      <c r="Q211" s="21" t="e">
        <f>ROUND(ROUND(ROUND($U$105,4)*_RLZ4+ROUND($V$105,4),2)*(1-CE_4)+$Q209*CE_4,2)</f>
        <v>#REF!</v>
      </c>
      <c r="R211" s="21" t="e">
        <f>ROUND(ROUND(ROUND($W$105,4)*_RLZ4+ROUND($X$105,2),2)*(1-CE_4)+$R209*CE_4,2)</f>
        <v>#REF!</v>
      </c>
      <c r="S211" s="22" t="e">
        <f>ROUND(ROUND(ROUND($Y$105,4)*_RLZ4+ROUND($Z$105,2),2)*(1-CE_4)+$S209*CE_4,2)</f>
        <v>#REF!</v>
      </c>
      <c r="U211" s="64"/>
      <c r="V211" s="64"/>
      <c r="W211" s="64"/>
      <c r="X211" s="64"/>
      <c r="Y211" s="64"/>
      <c r="AA211" s="29"/>
      <c r="AB211" s="220"/>
    </row>
    <row r="212" spans="10:28" x14ac:dyDescent="0.2">
      <c r="K212" s="574"/>
      <c r="L212" s="20" t="s">
        <v>205</v>
      </c>
      <c r="M212" s="284" t="e">
        <f>ROUND(ROUND(ROUND($M$106,4)*_RLZ4+ROUND($N$106,2),2)*(1-CE_4)+$M$137*CE_4,2)</f>
        <v>#REF!</v>
      </c>
      <c r="N212" s="21" t="e">
        <f>ROUND(ROUND(ROUND($O$106,4)*_RLZ4+ROUND($P$106,2),2)*(1-CE_4)+$N209*CE_4,2)</f>
        <v>#REF!</v>
      </c>
      <c r="O212" s="21" t="e">
        <f>ROUND(ROUND(ROUND($Q$106,4)*_RLZ4+ROUND($R$106,2),2)*(1-CE_4)+$O209*CE_4,2)</f>
        <v>#REF!</v>
      </c>
      <c r="P212" s="21" t="e">
        <f>ROUND(ROUND(ROUND($S$106,4)*_RLZ4+ROUND($T$106,2),2)*(1-CE_4)+$P209*CE_4,2)</f>
        <v>#REF!</v>
      </c>
      <c r="Q212" s="21" t="e">
        <f>ROUND(ROUND(ROUND($U$106,4)*_RLZ4+ROUND($V$106,2),2)*(1-CE_4)+$Q209*CE_4,2)</f>
        <v>#REF!</v>
      </c>
      <c r="R212" s="21" t="e">
        <f>ROUND(ROUND(ROUND($W$106,4)*_RLZ4+ROUND($X$106,2),2)*(1-CE_4)+$R209*CE_4,2)</f>
        <v>#REF!</v>
      </c>
      <c r="S212" s="22" t="s">
        <v>21</v>
      </c>
      <c r="U212" s="64"/>
      <c r="V212" s="64"/>
      <c r="W212" s="64"/>
      <c r="X212" s="64"/>
      <c r="Y212" s="64"/>
      <c r="AA212" s="29"/>
      <c r="AB212" s="220"/>
    </row>
    <row r="213" spans="10:28" x14ac:dyDescent="0.2">
      <c r="K213" s="574"/>
      <c r="L213" s="20" t="s">
        <v>206</v>
      </c>
      <c r="M213" s="284" t="e">
        <f>ROUND(ROUND(ROUND($M$107,4)*_RLZ4+ROUND($N$107,2),2)*(1-CE_4)+$M$137*CE_4,2)</f>
        <v>#REF!</v>
      </c>
      <c r="N213" s="21" t="e">
        <f>ROUND(ROUND(ROUND($O$107,4)*_RLZ4+ROUND($P$107,2),2)*(1-CE_4)+$N209*CE_4,2)</f>
        <v>#REF!</v>
      </c>
      <c r="O213" s="21" t="e">
        <f>ROUND(ROUND(ROUND($Q$107,4)*_RLZ4+ROUND($R$107,2),2)*(1-CE_4)+$O209*CE_4,2)</f>
        <v>#REF!</v>
      </c>
      <c r="P213" s="21" t="e">
        <f>ROUND(ROUND(ROUND($S$107,4)*_RLZ4+ROUND($T$107,2),2)*(1-CE_4)+$P209*CE_4,2)</f>
        <v>#REF!</v>
      </c>
      <c r="Q213" s="21" t="e">
        <f>ROUND(ROUND(ROUND($U$107,4)*_RLZ4+ROUND($V$107,4),2)*(1-CE_4)+$Q209*CE_4,2)</f>
        <v>#REF!</v>
      </c>
      <c r="R213" s="21" t="s">
        <v>21</v>
      </c>
      <c r="S213" s="22" t="s">
        <v>21</v>
      </c>
      <c r="U213" s="64"/>
      <c r="V213" s="64"/>
      <c r="W213" s="64"/>
      <c r="X213" s="64"/>
      <c r="Y213" s="64"/>
      <c r="AA213" s="29"/>
      <c r="AB213" s="220"/>
    </row>
    <row r="214" spans="10:28" ht="13.5" thickBot="1" x14ac:dyDescent="0.25">
      <c r="K214" s="574"/>
      <c r="L214" s="23" t="s">
        <v>207</v>
      </c>
      <c r="M214" s="284" t="e">
        <f>ROUND(ROUND(ROUND($M$108,4)*_RLZ4+ROUND($N$108,2),2)*(1-CE_4)+M$174*CE_4,2)</f>
        <v>#REF!</v>
      </c>
      <c r="N214" s="21" t="e">
        <f>ROUND(ROUND(ROUND($O$108,4)*_RLZ4+ROUND($P$108,2),2)*(1-CE_4)+$N209*CE_4,2)</f>
        <v>#REF!</v>
      </c>
      <c r="O214" s="21" t="e">
        <f>ROUND(ROUND(ROUND($Q$108,4)*_RLZ4+ROUND($R$108,2),2)*(1-CE_4)+$O209*CE_4,2)</f>
        <v>#REF!</v>
      </c>
      <c r="P214" s="21" t="e">
        <f>ROUND(ROUND(ROUND($S$108,4)*_RLZ4+ROUND($T$108,2),2)*(1-CE_4)+$P209*CE_4,2)</f>
        <v>#REF!</v>
      </c>
      <c r="Q214" s="21" t="s">
        <v>21</v>
      </c>
      <c r="R214" s="21" t="s">
        <v>21</v>
      </c>
      <c r="S214" s="22" t="s">
        <v>21</v>
      </c>
      <c r="U214" s="64"/>
      <c r="V214" s="64"/>
      <c r="W214" s="64"/>
      <c r="X214" s="64"/>
      <c r="Y214" s="64"/>
      <c r="AA214" s="29"/>
      <c r="AB214" s="220"/>
    </row>
    <row r="215" spans="10:28" x14ac:dyDescent="0.2">
      <c r="K215" s="574"/>
      <c r="L215" s="34" t="s">
        <v>15</v>
      </c>
      <c r="M215" s="284" t="e">
        <f t="shared" ref="M215:S217" si="36">M204</f>
        <v>#REF!</v>
      </c>
      <c r="N215" s="21" t="e">
        <f t="shared" si="36"/>
        <v>#REF!</v>
      </c>
      <c r="O215" s="21" t="e">
        <f t="shared" si="36"/>
        <v>#REF!</v>
      </c>
      <c r="P215" s="21" t="e">
        <f t="shared" si="36"/>
        <v>#REF!</v>
      </c>
      <c r="Q215" s="21" t="e">
        <f t="shared" si="36"/>
        <v>#REF!</v>
      </c>
      <c r="R215" s="21" t="e">
        <f t="shared" si="36"/>
        <v>#REF!</v>
      </c>
      <c r="S215" s="22" t="e">
        <f t="shared" si="36"/>
        <v>#REF!</v>
      </c>
      <c r="U215" s="64"/>
      <c r="V215" s="64"/>
      <c r="W215" s="64"/>
      <c r="X215" s="64"/>
      <c r="Y215" s="64"/>
      <c r="AA215" s="29"/>
      <c r="AB215" s="220"/>
    </row>
    <row r="216" spans="10:28" ht="13.9" customHeight="1" x14ac:dyDescent="0.2">
      <c r="K216" s="574"/>
      <c r="L216" s="20" t="s">
        <v>17</v>
      </c>
      <c r="M216" s="284" t="e">
        <f t="shared" si="36"/>
        <v>#REF!</v>
      </c>
      <c r="N216" s="21" t="e">
        <f t="shared" si="36"/>
        <v>#REF!</v>
      </c>
      <c r="O216" s="21" t="e">
        <f t="shared" si="36"/>
        <v>#REF!</v>
      </c>
      <c r="P216" s="21" t="e">
        <f t="shared" si="36"/>
        <v>#REF!</v>
      </c>
      <c r="Q216" s="21" t="e">
        <f t="shared" si="36"/>
        <v>#REF!</v>
      </c>
      <c r="R216" s="21" t="e">
        <f t="shared" si="36"/>
        <v>#REF!</v>
      </c>
      <c r="S216" s="22" t="e">
        <f t="shared" si="36"/>
        <v>#REF!</v>
      </c>
      <c r="U216" s="64"/>
      <c r="V216" s="64"/>
      <c r="W216" s="64"/>
      <c r="X216" s="64"/>
      <c r="Y216" s="64"/>
      <c r="AA216" s="29"/>
      <c r="AB216" s="220"/>
    </row>
    <row r="217" spans="10:28" ht="13.15" customHeight="1" thickBot="1" x14ac:dyDescent="0.25">
      <c r="K217" s="575"/>
      <c r="L217" s="23" t="s">
        <v>7</v>
      </c>
      <c r="M217" s="288" t="e">
        <f t="shared" si="36"/>
        <v>#REF!</v>
      </c>
      <c r="N217" s="24" t="e">
        <f t="shared" si="36"/>
        <v>#REF!</v>
      </c>
      <c r="O217" s="24" t="e">
        <f t="shared" si="36"/>
        <v>#REF!</v>
      </c>
      <c r="P217" s="24" t="e">
        <f t="shared" si="36"/>
        <v>#REF!</v>
      </c>
      <c r="Q217" s="24" t="e">
        <f t="shared" si="36"/>
        <v>#REF!</v>
      </c>
      <c r="R217" s="24" t="e">
        <f t="shared" si="36"/>
        <v>#REF!</v>
      </c>
      <c r="S217" s="25" t="e">
        <f t="shared" si="36"/>
        <v>#REF!</v>
      </c>
      <c r="U217" s="64"/>
      <c r="V217" s="64"/>
      <c r="W217" s="64"/>
      <c r="X217" s="64"/>
      <c r="Y217" s="64"/>
      <c r="AA217" s="29"/>
      <c r="AB217" s="220"/>
    </row>
    <row r="218" spans="10:28" x14ac:dyDescent="0.2">
      <c r="J218" s="302"/>
      <c r="K218" s="264"/>
      <c r="L218" s="264"/>
      <c r="M218" s="264"/>
      <c r="N218" s="264"/>
      <c r="O218" s="264"/>
      <c r="P218" s="264"/>
      <c r="Q218" s="264"/>
      <c r="R218" s="264"/>
      <c r="S218" s="264"/>
      <c r="T218" s="264"/>
      <c r="U218" s="303"/>
      <c r="V218" s="303"/>
      <c r="W218" s="303"/>
      <c r="X218" s="303"/>
      <c r="Y218" s="303"/>
      <c r="Z218" s="305"/>
      <c r="AA218" s="29"/>
      <c r="AB218" s="220"/>
    </row>
    <row r="219" spans="10:28" ht="13.5" thickBot="1" x14ac:dyDescent="0.25">
      <c r="M219" s="27"/>
      <c r="U219" s="64"/>
      <c r="V219" s="64"/>
      <c r="W219" s="64"/>
      <c r="X219" s="64"/>
      <c r="Y219" s="64"/>
      <c r="AA219" s="29"/>
      <c r="AB219" s="220"/>
    </row>
    <row r="220" spans="10:28" ht="13.5" thickBot="1" x14ac:dyDescent="0.25">
      <c r="K220" s="41" t="s">
        <v>33</v>
      </c>
      <c r="L220" s="43"/>
      <c r="M220" s="290"/>
      <c r="N220" s="290"/>
      <c r="O220" s="290"/>
      <c r="P220" s="290"/>
      <c r="Q220" s="290"/>
      <c r="R220" s="290"/>
      <c r="S220" s="291"/>
      <c r="U220" s="64"/>
      <c r="V220" s="64"/>
      <c r="W220" s="64"/>
      <c r="X220" s="64"/>
      <c r="Y220" s="282" t="s">
        <v>27</v>
      </c>
      <c r="AA220" s="29"/>
      <c r="AB220" s="220"/>
    </row>
    <row r="221" spans="10:28" ht="13.5" thickBot="1" x14ac:dyDescent="0.25">
      <c r="K221" s="30" t="s">
        <v>25</v>
      </c>
      <c r="L221" s="19" t="s">
        <v>13</v>
      </c>
      <c r="M221" s="15">
        <v>1</v>
      </c>
      <c r="N221" s="15">
        <v>2</v>
      </c>
      <c r="O221" s="15">
        <v>3</v>
      </c>
      <c r="P221" s="15">
        <v>4</v>
      </c>
      <c r="Q221" s="15">
        <v>5</v>
      </c>
      <c r="R221" s="15">
        <v>6</v>
      </c>
      <c r="S221" s="16">
        <v>7</v>
      </c>
      <c r="U221" s="43" t="s">
        <v>33</v>
      </c>
      <c r="V221" s="43" t="s">
        <v>14</v>
      </c>
      <c r="W221" s="43"/>
      <c r="X221" s="261" t="e">
        <f>#REF!</f>
        <v>#REF!</v>
      </c>
      <c r="Y221" s="42" t="e">
        <f>#REF!</f>
        <v>#REF!</v>
      </c>
      <c r="Z221" s="285" t="s">
        <v>28</v>
      </c>
      <c r="AA221" s="29"/>
      <c r="AB221" s="220"/>
    </row>
    <row r="222" spans="10:28" ht="13.15" customHeight="1" thickBot="1" x14ac:dyDescent="0.25">
      <c r="K222" s="573" t="str">
        <f>$K$114</f>
        <v>OECD-Prämiensystem
&lt; 2 Jahre ohne CE</v>
      </c>
      <c r="L222" s="17" t="s">
        <v>202</v>
      </c>
      <c r="M222" s="301" t="e">
        <f>ROUND(ROUND($M$101,4)*_RLZ5+ROUND($N$101,4),2)</f>
        <v>#REF!</v>
      </c>
      <c r="N222" s="18" t="e">
        <f>ROUND(ROUND($O$101,4)*_RLZ5+ROUND($P$101,2),2)</f>
        <v>#REF!</v>
      </c>
      <c r="O222" s="18" t="e">
        <f>ROUND(ROUND($Q$101,4)*_RLZ5+ROUND($R$101,2),2)</f>
        <v>#REF!</v>
      </c>
      <c r="P222" s="18" t="e">
        <f>ROUND(ROUND($S$101,4)*_RLZ5+ROUND($T$101,4),2)</f>
        <v>#REF!</v>
      </c>
      <c r="Q222" s="18" t="e">
        <f>ROUND(ROUND($U$101,4)*_RLZ5+ROUND($V$101,2),2)</f>
        <v>#REF!</v>
      </c>
      <c r="R222" s="18" t="e">
        <f>ROUND(ROUND($W$101,4)*_RLZ5+ROUND($X$101,2),2)</f>
        <v>#REF!</v>
      </c>
      <c r="S222" s="31" t="e">
        <f>ROUND(ROUND($Y$101,4)*_RLZ5+ROUND($Z$101,2),2)</f>
        <v>#REF!</v>
      </c>
      <c r="U222" s="286" t="e">
        <f>CE_5</f>
        <v>#REF!</v>
      </c>
      <c r="V222" s="32" t="s">
        <v>16</v>
      </c>
      <c r="W222" s="32"/>
      <c r="X222" s="269" t="e">
        <f>#REF!</f>
        <v>#REF!</v>
      </c>
      <c r="Y222" s="32" t="s">
        <v>29</v>
      </c>
      <c r="Z222" s="287" t="e">
        <f>IF(X222="n.v.","n.v.",Y229)</f>
        <v>#REF!</v>
      </c>
      <c r="AA222" s="29"/>
      <c r="AB222" s="220"/>
    </row>
    <row r="223" spans="10:28" x14ac:dyDescent="0.2">
      <c r="K223" s="574"/>
      <c r="L223" s="20" t="s">
        <v>203</v>
      </c>
      <c r="M223" s="284" t="e">
        <f>ROUND(ROUND($M$104,4)*_RLZ5+ROUND($N$104,2),2)</f>
        <v>#REF!</v>
      </c>
      <c r="N223" s="21" t="e">
        <f>ROUND(ROUND($O$104,4)*_RLZ5+ROUND($P$104,2),2)</f>
        <v>#REF!</v>
      </c>
      <c r="O223" s="21" t="e">
        <f>ROUND(ROUND($Q$104,4)*_RLZ5+ROUND($R$104,2),2)</f>
        <v>#REF!</v>
      </c>
      <c r="P223" s="21" t="e">
        <f>ROUND(ROUND($S$104,4)*_RLZ5+ROUND($T$104,2),2)</f>
        <v>#REF!</v>
      </c>
      <c r="Q223" s="21" t="e">
        <f>ROUND(ROUND($U$104,4)*_RLZ5+ROUND($V$104,2),2)</f>
        <v>#REF!</v>
      </c>
      <c r="R223" s="21" t="e">
        <f>ROUND(ROUND($W$104,4)*_RLZ5+ROUND($X$104,2),2)</f>
        <v>#REF!</v>
      </c>
      <c r="S223" s="22" t="e">
        <f>ROUND(ROUND($Y$104,4)*_RLZ5+ROUND($Z$104,2),2)</f>
        <v>#REF!</v>
      </c>
      <c r="AA223" s="29"/>
      <c r="AB223" s="220"/>
    </row>
    <row r="224" spans="10:28" x14ac:dyDescent="0.2">
      <c r="K224" s="574"/>
      <c r="L224" s="20" t="s">
        <v>204</v>
      </c>
      <c r="M224" s="284" t="e">
        <f>ROUND(ROUND($M$105,4)*_RLZ5+ROUND($N$105,2),2)</f>
        <v>#REF!</v>
      </c>
      <c r="N224" s="21" t="e">
        <f>ROUND(ROUND($O$105,4)*_RLZ5+ROUND($P$105,2),2)</f>
        <v>#REF!</v>
      </c>
      <c r="O224" s="21" t="e">
        <f>ROUND(ROUND($Q$105,4)*_RLZ5+ROUND($R$105,2),2)</f>
        <v>#REF!</v>
      </c>
      <c r="P224" s="21" t="e">
        <f>ROUND(ROUND($S$105,4)*_RLZ5+ROUND($T$105,2),2)</f>
        <v>#REF!</v>
      </c>
      <c r="Q224" s="21" t="e">
        <f>ROUND(ROUND($U$105,4)*_RLZ5+ROUND($V$105,4),2)</f>
        <v>#REF!</v>
      </c>
      <c r="R224" s="21" t="e">
        <f>ROUND(ROUND($W$105,4)*_RLZ5+ROUND($X$105,2),2)</f>
        <v>#REF!</v>
      </c>
      <c r="S224" s="22" t="e">
        <f>ROUND(ROUND($Y$105,4)*_RLZ5+ROUND($Z$105,2),2)</f>
        <v>#REF!</v>
      </c>
      <c r="U224" s="64"/>
      <c r="V224" s="96" t="s">
        <v>126</v>
      </c>
      <c r="W224" s="64"/>
      <c r="X224" s="64"/>
      <c r="Y224" s="64"/>
      <c r="AA224" s="29"/>
      <c r="AB224" s="220"/>
    </row>
    <row r="225" spans="11:28" x14ac:dyDescent="0.2">
      <c r="K225" s="574"/>
      <c r="L225" s="20" t="s">
        <v>205</v>
      </c>
      <c r="M225" s="284" t="e">
        <f>ROUND(ROUND($M$106,4)*_RLZ5+ROUND($N$106,2),2)</f>
        <v>#REF!</v>
      </c>
      <c r="N225" s="21" t="e">
        <f>ROUND(ROUND($O$106,4)*_RLZ5+ROUND($P$106,2),2)</f>
        <v>#REF!</v>
      </c>
      <c r="O225" s="21" t="e">
        <f>ROUND(ROUND($Q$106,4)*_RLZ5+ROUND($R$106,2),2)</f>
        <v>#REF!</v>
      </c>
      <c r="P225" s="21" t="e">
        <f>ROUND(ROUND($S$106,4)*_RLZ5+ROUND($T$106,2),2)</f>
        <v>#REF!</v>
      </c>
      <c r="Q225" s="21" t="e">
        <f>ROUND(ROUND($U$106,4)*_RLZ5+ROUND($V$106,2),2)</f>
        <v>#REF!</v>
      </c>
      <c r="R225" s="21" t="e">
        <f>ROUND(ROUND($W$106,4)*_RLZ5+ROUND($X$106,2),2)</f>
        <v>#REF!</v>
      </c>
      <c r="S225" s="22" t="s">
        <v>21</v>
      </c>
      <c r="U225" s="64"/>
      <c r="V225" s="96" t="s">
        <v>127</v>
      </c>
      <c r="W225" s="257" t="e">
        <f>X221</f>
        <v>#REF!</v>
      </c>
      <c r="X225" s="64" t="e">
        <f>X222</f>
        <v>#REF!</v>
      </c>
      <c r="Y225" s="257" t="e">
        <f>IF(X225="n.v.","n.v.",ROUND(VLOOKUP(X225,L221:S230,W225+1),2))</f>
        <v>#REF!</v>
      </c>
      <c r="AA225" s="29"/>
      <c r="AB225" s="220"/>
    </row>
    <row r="226" spans="11:28" x14ac:dyDescent="0.2">
      <c r="K226" s="574"/>
      <c r="L226" s="20" t="s">
        <v>206</v>
      </c>
      <c r="M226" s="284" t="e">
        <f>ROUND(ROUND($M$107,4)*_RLZ5+ROUND($N$107,2),2)</f>
        <v>#REF!</v>
      </c>
      <c r="N226" s="21" t="e">
        <f>ROUND(ROUND($O$107,4)*_RLZ5+ROUND($P$107,2),2)</f>
        <v>#REF!</v>
      </c>
      <c r="O226" s="21" t="e">
        <f>ROUND(ROUND($Q$107,4)*_RLZ5+ROUND($R$107,2),2)</f>
        <v>#REF!</v>
      </c>
      <c r="P226" s="21" t="e">
        <f>ROUND(ROUND($S$107,4)*_RLZ5+ROUND($T$107,2),2)</f>
        <v>#REF!</v>
      </c>
      <c r="Q226" s="21" t="e">
        <f>ROUND(ROUND($U$107,4)*_RLZ5+ROUND($V$107,4),2)</f>
        <v>#REF!</v>
      </c>
      <c r="R226" s="21" t="s">
        <v>21</v>
      </c>
      <c r="S226" s="22" t="s">
        <v>21</v>
      </c>
      <c r="U226" s="64"/>
      <c r="V226" s="96" t="s">
        <v>127</v>
      </c>
      <c r="W226" s="257" t="e">
        <f>W225</f>
        <v>#REF!</v>
      </c>
      <c r="X226" s="64" t="s">
        <v>10</v>
      </c>
      <c r="Y226" s="257" t="e">
        <f>ROUND(VLOOKUP(X226,L221:S230,W226+1),2)</f>
        <v>#REF!</v>
      </c>
      <c r="AA226" s="29"/>
      <c r="AB226" s="220"/>
    </row>
    <row r="227" spans="11:28" ht="13.5" thickBot="1" x14ac:dyDescent="0.25">
      <c r="K227" s="574"/>
      <c r="L227" s="23" t="s">
        <v>207</v>
      </c>
      <c r="M227" s="284" t="e">
        <f>ROUND(ROUND($M$108,4)*_RLZ5+ROUND($N$108,2),2)</f>
        <v>#REF!</v>
      </c>
      <c r="N227" s="21" t="e">
        <f>ROUND(ROUND($O$108,4)*_RLZ5+ROUND($P$108,2),2)</f>
        <v>#REF!</v>
      </c>
      <c r="O227" s="21" t="e">
        <f>ROUND(ROUND($Q$108,4)*_RLZ5+ROUND($R$108,2),2)</f>
        <v>#REF!</v>
      </c>
      <c r="P227" s="21" t="e">
        <f>ROUND(ROUND($S$108,4)*_RLZ5+ROUND($T$108,2),2)</f>
        <v>#REF!</v>
      </c>
      <c r="Q227" s="21" t="s">
        <v>21</v>
      </c>
      <c r="R227" s="21" t="s">
        <v>21</v>
      </c>
      <c r="S227" s="22" t="s">
        <v>21</v>
      </c>
      <c r="U227" s="64"/>
      <c r="V227" s="64" t="s">
        <v>128</v>
      </c>
      <c r="W227" s="64"/>
      <c r="X227" s="64"/>
      <c r="Y227" s="257" t="e">
        <f>Y225-Y226</f>
        <v>#REF!</v>
      </c>
      <c r="AA227" s="29"/>
      <c r="AB227" s="220"/>
    </row>
    <row r="228" spans="11:28" x14ac:dyDescent="0.2">
      <c r="K228" s="574"/>
      <c r="L228" s="34" t="s">
        <v>15</v>
      </c>
      <c r="M228" s="284" t="e">
        <f>ROUND(ROUND($M$101,4)*_RLZ5+ROUND($N$101,2),2)</f>
        <v>#REF!</v>
      </c>
      <c r="N228" s="21" t="e">
        <f>ROUND(ROUND($O$101,4)*_RLZ5+ROUND($P$101,2),2)</f>
        <v>#REF!</v>
      </c>
      <c r="O228" s="21" t="e">
        <f>ROUND(ROUND($Q$101,4)*_RLZ5+ROUND($R$101,2),2)</f>
        <v>#REF!</v>
      </c>
      <c r="P228" s="21" t="e">
        <f>ROUND(ROUND($S101,4)*_RLZ5+ROUND($T101,2),2)</f>
        <v>#REF!</v>
      </c>
      <c r="Q228" s="21" t="e">
        <f>ROUND(ROUND($U$101,4)*_RLZ5+ROUND($V$101,2),2)</f>
        <v>#REF!</v>
      </c>
      <c r="R228" s="21" t="e">
        <f>ROUND(ROUND($W$101,4)*_RLZ5+ROUND($X$101,2),2)</f>
        <v>#REF!</v>
      </c>
      <c r="S228" s="22" t="e">
        <f>ROUND(ROUND($Y$101,4)*_RLZ5+ROUND($Z$101,2),2)</f>
        <v>#REF!</v>
      </c>
      <c r="U228" s="64"/>
      <c r="V228" s="96" t="s">
        <v>129</v>
      </c>
      <c r="W228" s="262" t="e">
        <f>U222</f>
        <v>#REF!</v>
      </c>
      <c r="X228" s="64"/>
      <c r="Y228" s="257" t="e">
        <f>ROUNDDOWN(Y227*W228,2)</f>
        <v>#REF!</v>
      </c>
      <c r="AA228" s="29"/>
      <c r="AB228" s="220"/>
    </row>
    <row r="229" spans="11:28" x14ac:dyDescent="0.2">
      <c r="K229" s="574"/>
      <c r="L229" s="20" t="s">
        <v>17</v>
      </c>
      <c r="M229" s="284" t="e">
        <f>ROUND(ROUND($M$102,4)*_RLZ5+ROUND($N$102,2),2)</f>
        <v>#REF!</v>
      </c>
      <c r="N229" s="21" t="e">
        <f>ROUND(ROUND($O$102,4)*_RLZ5+ROUND($P$102,2),2)</f>
        <v>#REF!</v>
      </c>
      <c r="O229" s="21" t="e">
        <f>ROUND(ROUND($Q$102,4)*_RLZ5+ROUND($R$102,2),2)</f>
        <v>#REF!</v>
      </c>
      <c r="P229" s="21" t="e">
        <f>ROUND(ROUND($S$102,4)*_RLZ5+ROUND($T$102,2),2)</f>
        <v>#REF!</v>
      </c>
      <c r="Q229" s="21" t="e">
        <f>ROUND(ROUND($U$102,4)*_RLZ5+ROUND($V$102,2),2)</f>
        <v>#REF!</v>
      </c>
      <c r="R229" s="21" t="e">
        <f>ROUND(ROUND($W$102,4)*_RLZ5+ROUND($X$102,2),2)</f>
        <v>#REF!</v>
      </c>
      <c r="S229" s="22" t="e">
        <f>ROUND(ROUND($Y$102,4)*_RLZ5+ROUND($Z$102,2),2)</f>
        <v>#REF!</v>
      </c>
      <c r="T229" s="576" t="s">
        <v>135</v>
      </c>
      <c r="U229" s="577"/>
      <c r="V229" s="577"/>
      <c r="W229" s="257" t="e">
        <f>W225</f>
        <v>#REF!</v>
      </c>
      <c r="X229" s="64" t="e">
        <f>X225</f>
        <v>#REF!</v>
      </c>
      <c r="Y229" s="257" t="e">
        <f>IF(X225="n.v.","n.v.",Y225-Y228)</f>
        <v>#REF!</v>
      </c>
      <c r="AA229" s="29"/>
      <c r="AB229" s="220"/>
    </row>
    <row r="230" spans="11:28" ht="13.5" thickBot="1" x14ac:dyDescent="0.25">
      <c r="K230" s="575"/>
      <c r="L230" s="23" t="s">
        <v>7</v>
      </c>
      <c r="M230" s="288" t="e">
        <f>ROUND(ROUND($M$100,4)*_RLZ5+ROUND($N$100,2),2)</f>
        <v>#REF!</v>
      </c>
      <c r="N230" s="24" t="e">
        <f>ROUND(ROUND($O$100,4)*_RLZ5+ROUND($P$100,2),2)</f>
        <v>#REF!</v>
      </c>
      <c r="O230" s="24" t="e">
        <f>ROUND(ROUND($Q$100,4)*_RLZ5+ROUND($R$100,2),2)</f>
        <v>#REF!</v>
      </c>
      <c r="P230" s="24" t="e">
        <f>ROUND(ROUND($S$100,4)*_RLZ5+ROUND($T$100,2),2)</f>
        <v>#REF!</v>
      </c>
      <c r="Q230" s="24" t="e">
        <f>ROUND(ROUND($U$100,4)*_RLZ5+ROUND($V$100,2),2)</f>
        <v>#REF!</v>
      </c>
      <c r="R230" s="24" t="e">
        <f>ROUND(ROUND($W$100,4)*_RLZ5+ROUND($X$100,2),2)</f>
        <v>#REF!</v>
      </c>
      <c r="S230" s="25" t="e">
        <f>ROUND(ROUND($Y$100,4)*_RLZ5+ROUND($Z$100,2),2)</f>
        <v>#REF!</v>
      </c>
      <c r="U230" s="64"/>
      <c r="V230" s="64"/>
      <c r="W230" s="64"/>
      <c r="X230" s="64"/>
      <c r="Y230" s="64"/>
      <c r="AA230" s="29"/>
      <c r="AB230" s="220"/>
    </row>
    <row r="231" spans="11:28" ht="13.5" thickBot="1" x14ac:dyDescent="0.25">
      <c r="K231" s="41" t="s">
        <v>33</v>
      </c>
      <c r="L231" s="43"/>
      <c r="M231" s="290"/>
      <c r="N231" s="290"/>
      <c r="O231" s="290"/>
      <c r="P231" s="290"/>
      <c r="Q231" s="290"/>
      <c r="R231" s="290"/>
      <c r="S231" s="291"/>
      <c r="U231" s="64"/>
      <c r="V231" s="64"/>
      <c r="W231" s="64"/>
      <c r="X231" s="64"/>
      <c r="Y231" s="64"/>
      <c r="AA231" s="29"/>
      <c r="AB231" s="220"/>
    </row>
    <row r="232" spans="11:28" ht="13.5" thickBot="1" x14ac:dyDescent="0.25">
      <c r="K232" s="30" t="s">
        <v>25</v>
      </c>
      <c r="L232" s="19" t="s">
        <v>13</v>
      </c>
      <c r="M232" s="15">
        <v>1</v>
      </c>
      <c r="N232" s="15">
        <v>2</v>
      </c>
      <c r="O232" s="15">
        <v>3</v>
      </c>
      <c r="P232" s="15">
        <v>4</v>
      </c>
      <c r="Q232" s="15">
        <v>5</v>
      </c>
      <c r="R232" s="15">
        <v>6</v>
      </c>
      <c r="S232" s="16">
        <v>7</v>
      </c>
      <c r="U232" s="64"/>
      <c r="V232" s="64"/>
      <c r="W232" s="64"/>
      <c r="X232" s="64"/>
      <c r="Y232" s="64"/>
      <c r="AA232" s="29"/>
      <c r="AB232" s="220"/>
    </row>
    <row r="233" spans="11:28" x14ac:dyDescent="0.2">
      <c r="K233" s="573" t="str">
        <f>K209</f>
        <v>OECD-Prämiensystem
&lt; 2 Jahre mit CE</v>
      </c>
      <c r="L233" s="17" t="s">
        <v>202</v>
      </c>
      <c r="M233" s="301" t="e">
        <f>ROUND(ROUND($M$101,4)*_RLZ5+ROUND($N$101,4),2)</f>
        <v>#REF!</v>
      </c>
      <c r="N233" s="18" t="e">
        <f>ROUND(ROUND($O$101,4)*_RLZ5+ROUND($P$101,2),2)</f>
        <v>#REF!</v>
      </c>
      <c r="O233" s="18" t="e">
        <f>ROUND(ROUND($Q$101,4)*_RLZ5+ROUND($R$101,2),2)</f>
        <v>#REF!</v>
      </c>
      <c r="P233" s="18" t="e">
        <f>ROUND(ROUND($S$101,4)*_RLZ5+ROUND($T$101,4),2)</f>
        <v>#REF!</v>
      </c>
      <c r="Q233" s="18" t="e">
        <f>ROUND(ROUND($U$101,4)*_RLZ5+ROUND($V$101,2),2)</f>
        <v>#REF!</v>
      </c>
      <c r="R233" s="18" t="e">
        <f>ROUND(ROUND($W$101,4)*_RLZ5+ROUND($X$101,2),2)</f>
        <v>#REF!</v>
      </c>
      <c r="S233" s="31" t="e">
        <f>ROUND(ROUND($Y$101,4)*_RLZ5+ROUND($Z$101,2),2)</f>
        <v>#REF!</v>
      </c>
      <c r="U233" s="306"/>
      <c r="V233" s="306" t="s">
        <v>138</v>
      </c>
      <c r="W233" s="257" t="e">
        <f>W225</f>
        <v>#REF!</v>
      </c>
      <c r="X233" s="64" t="e">
        <f>X225</f>
        <v>#REF!</v>
      </c>
      <c r="Y233" s="257" t="e">
        <f>IF(X225="n.v.","n.v.",ROUND(VLOOKUP(X222,L232:S241,X221+1),4))</f>
        <v>#REF!</v>
      </c>
      <c r="AA233" s="29"/>
      <c r="AB233" s="220"/>
    </row>
    <row r="234" spans="11:28" x14ac:dyDescent="0.2">
      <c r="K234" s="574"/>
      <c r="L234" s="20" t="s">
        <v>203</v>
      </c>
      <c r="M234" s="284" t="e">
        <f>ROUND(ROUND(ROUND($M$104,4)*_RLZ5+ROUND($N$104,2),2)*(1-CE_5)+$M$137*CE_5,2)</f>
        <v>#REF!</v>
      </c>
      <c r="N234" s="21" t="e">
        <f>ROUND(ROUND(ROUND($O$104,4)*_RLZ5+ROUND($P$104,2),2)*(1-CE_5)+N$137*CE_5,2)</f>
        <v>#REF!</v>
      </c>
      <c r="O234" s="21" t="e">
        <f>ROUND(ROUND(ROUND($Q$104,4)*_RLZ5+ROUND($R$104,2),2)*(1-CE_5)+$O233*CE_5,2)</f>
        <v>#REF!</v>
      </c>
      <c r="P234" s="21" t="e">
        <f>ROUND(ROUND(ROUND($S$104,4)*_RLZ5+ROUND($T$104,2),2)*(1-CE_5)+$P233*CE_5,2)</f>
        <v>#REF!</v>
      </c>
      <c r="Q234" s="21" t="e">
        <f>ROUND(ROUND(ROUND($U$104,4)*_RLZ5+ROUND($V$104,2),2)*(1-CE_5)+$Q233*CE_5,2)</f>
        <v>#REF!</v>
      </c>
      <c r="R234" s="21" t="e">
        <f>ROUND(ROUND(ROUND($W$104,4)*_RLZ5+ROUND($X$104,2),2)*(1-CE_5)+$R233*CE_5,2)</f>
        <v>#REF!</v>
      </c>
      <c r="S234" s="22" t="e">
        <f>ROUND(ROUND(ROUND($Y$104,4)*_RLZ5+ROUND($Z$104,2),2)*(1-CE_5)+$S233*CE_5,2)</f>
        <v>#REF!</v>
      </c>
      <c r="U234" s="64"/>
      <c r="V234" s="64"/>
      <c r="W234" s="64"/>
      <c r="X234" s="64"/>
      <c r="Y234" s="64"/>
      <c r="AA234" s="29"/>
      <c r="AB234" s="220"/>
    </row>
    <row r="235" spans="11:28" ht="13.9" customHeight="1" x14ac:dyDescent="0.2">
      <c r="K235" s="574"/>
      <c r="L235" s="20" t="s">
        <v>204</v>
      </c>
      <c r="M235" s="284" t="e">
        <f>ROUND(ROUND(ROUND($M$105,4)*_RLZ5+ROUND($N$105,2),2)*(1-CE_5)+$M$137*CE_5,2)</f>
        <v>#REF!</v>
      </c>
      <c r="N235" s="21" t="e">
        <f>ROUND(ROUND(ROUND($O$105,4)*_RLZ5+ROUND($P$105,2),2)*(1-CE_5)+$N233*CE_5,2)</f>
        <v>#REF!</v>
      </c>
      <c r="O235" s="21" t="e">
        <f>ROUND(ROUND(ROUND($Q$105,4)*_RLZ5+ROUND($R$105,2),2)*(1-CE_5)+$O233*CE_5,2)</f>
        <v>#REF!</v>
      </c>
      <c r="P235" s="21" t="e">
        <f>ROUND(ROUND(ROUND($S$105,4)*_RLZ5+ROUND($T$105,2),2)*(1-CE_5)+$P233*CE_5,2)</f>
        <v>#REF!</v>
      </c>
      <c r="Q235" s="21" t="e">
        <f>ROUND(ROUND(ROUND($U$105,4)*_RLZ5+ROUND($V$105,4),2)*(1-CE_5)+$Q233*CE_5,2)</f>
        <v>#REF!</v>
      </c>
      <c r="R235" s="21" t="e">
        <f>ROUND(ROUND(ROUND($W$105,4)*_RLZ5+ROUND($X$105,2),2)*(1-CE_5)+$R233*CE_5,2)</f>
        <v>#REF!</v>
      </c>
      <c r="S235" s="22" t="e">
        <f>ROUND(ROUND(ROUND($Y$105,4)*_RLZ5+ROUND($Z$105,2),2)*(1-CE_5)+$S233*CE_5,2)</f>
        <v>#REF!</v>
      </c>
      <c r="U235" s="64"/>
      <c r="V235" s="64"/>
      <c r="W235" s="64"/>
      <c r="X235" s="64"/>
      <c r="Y235" s="64"/>
      <c r="AA235" s="29"/>
      <c r="AB235" s="220"/>
    </row>
    <row r="236" spans="11:28" x14ac:dyDescent="0.2">
      <c r="K236" s="574"/>
      <c r="L236" s="20" t="s">
        <v>205</v>
      </c>
      <c r="M236" s="284" t="e">
        <f>ROUND(ROUND(ROUND($M$106,4)*_RLZ5+ROUND($N$106,2),2)*(1-CE_5)+$M$137*CE_5,2)</f>
        <v>#REF!</v>
      </c>
      <c r="N236" s="21" t="e">
        <f>ROUND(ROUND(ROUND($O$106,4)*_RLZ5+ROUND($P$106,2),2)*(1-CE_5)+$N233*CE_5,2)</f>
        <v>#REF!</v>
      </c>
      <c r="O236" s="21" t="e">
        <f>ROUND(ROUND(ROUND($Q$106,4)*_RLZ5+ROUND($R$106,2),2)*(1-CE_5)+$O233*CE_5,2)</f>
        <v>#REF!</v>
      </c>
      <c r="P236" s="21" t="e">
        <f>ROUND(ROUND(ROUND($S$106,4)*_RLZ5+ROUND($T$106,2),2)*(1-CE_5)+$P233*CE_5,2)</f>
        <v>#REF!</v>
      </c>
      <c r="Q236" s="21" t="e">
        <f>ROUND(ROUND(ROUND($U$106,4)*_RLZ5+ROUND($V$106,2),2)*(1-CE_5)+$Q233*CE_5,2)</f>
        <v>#REF!</v>
      </c>
      <c r="R236" s="21" t="e">
        <f>ROUND(ROUND(ROUND($W$106,4)*_RLZ5+ROUND($X$106,2),2)*(1-CE_5)+$R233*CE_5,2)</f>
        <v>#REF!</v>
      </c>
      <c r="S236" s="22" t="s">
        <v>21</v>
      </c>
      <c r="U236" s="64"/>
      <c r="V236" s="64"/>
      <c r="W236" s="64"/>
      <c r="X236" s="64"/>
      <c r="Y236" s="64"/>
      <c r="AA236" s="29"/>
      <c r="AB236" s="220"/>
    </row>
    <row r="237" spans="11:28" x14ac:dyDescent="0.2">
      <c r="K237" s="574"/>
      <c r="L237" s="20" t="s">
        <v>206</v>
      </c>
      <c r="M237" s="284" t="e">
        <f>ROUND(ROUND(ROUND($M$107,4)*_RLZ5+ROUND($N$107,2),2)*(1-CE_5)+$M$137*CE_5,2)</f>
        <v>#REF!</v>
      </c>
      <c r="N237" s="21" t="e">
        <f>ROUND(ROUND(ROUND($O$107,4)*_RLZ5+ROUND($P$107,2),2)*(1-CE_5)+$N233*CE_5,2)</f>
        <v>#REF!</v>
      </c>
      <c r="O237" s="21" t="e">
        <f>ROUND(ROUND(ROUND($Q$107,4)*_RLZ5+ROUND($R$107,2),2)*(1-CE_5)+$O233*CE_5,2)</f>
        <v>#REF!</v>
      </c>
      <c r="P237" s="21" t="e">
        <f>ROUND(ROUND(ROUND($S$107,4)*_RLZ5+ROUND($T$107,2),2)*(1-CE_5)+$P233*CE_5,2)</f>
        <v>#REF!</v>
      </c>
      <c r="Q237" s="21" t="e">
        <f>ROUND(ROUND(ROUND($U$107,4)*_RLZ5+ROUND($V$107,4),2)*(1-CE_5)+$Q233*CE_5,2)</f>
        <v>#REF!</v>
      </c>
      <c r="R237" s="21" t="s">
        <v>21</v>
      </c>
      <c r="S237" s="22" t="s">
        <v>21</v>
      </c>
      <c r="U237" s="64"/>
      <c r="V237" s="64"/>
      <c r="W237" s="64"/>
      <c r="X237" s="64"/>
      <c r="Y237" s="64"/>
      <c r="AA237" s="29"/>
      <c r="AB237" s="220"/>
    </row>
    <row r="238" spans="11:28" ht="13.5" thickBot="1" x14ac:dyDescent="0.25">
      <c r="K238" s="574"/>
      <c r="L238" s="23" t="s">
        <v>207</v>
      </c>
      <c r="M238" s="284" t="e">
        <f>ROUND(ROUND(ROUND($M$108,4)*_RLZ4+ROUND($N$108,2),2)*(1-CE_4)+M$174*CE_4,2)</f>
        <v>#REF!</v>
      </c>
      <c r="N238" s="21" t="e">
        <f>ROUND(ROUND(ROUND($O$108,4)*_RLZ5+ROUND($P$108,2),2)*(1-CE_5)+$N233*CE_5,2)</f>
        <v>#REF!</v>
      </c>
      <c r="O238" s="21" t="e">
        <f>ROUND(ROUND(ROUND($Q$108,4)*_RLZ5+ROUND($R$108,2),2)*(1-CE_5)+$O233*CE_5,2)</f>
        <v>#REF!</v>
      </c>
      <c r="P238" s="21" t="e">
        <f>ROUND(ROUND(ROUND($S$108,4)*_RLZ5+ROUND($T$108,2),2)*(1-CE_5)+$P233*CE_5,2)</f>
        <v>#REF!</v>
      </c>
      <c r="Q238" s="21" t="s">
        <v>21</v>
      </c>
      <c r="R238" s="21" t="s">
        <v>21</v>
      </c>
      <c r="S238" s="22" t="s">
        <v>21</v>
      </c>
      <c r="U238" s="64"/>
      <c r="V238" s="64"/>
      <c r="W238" s="64"/>
      <c r="X238" s="64"/>
      <c r="Y238" s="64"/>
      <c r="AA238" s="29"/>
      <c r="AB238" s="220"/>
    </row>
    <row r="239" spans="11:28" x14ac:dyDescent="0.2">
      <c r="K239" s="574"/>
      <c r="L239" s="34" t="s">
        <v>15</v>
      </c>
      <c r="M239" s="284" t="e">
        <f t="shared" ref="M239:S241" si="37">M228</f>
        <v>#REF!</v>
      </c>
      <c r="N239" s="21" t="e">
        <f t="shared" si="37"/>
        <v>#REF!</v>
      </c>
      <c r="O239" s="21" t="e">
        <f t="shared" si="37"/>
        <v>#REF!</v>
      </c>
      <c r="P239" s="21" t="e">
        <f t="shared" si="37"/>
        <v>#REF!</v>
      </c>
      <c r="Q239" s="21" t="e">
        <f t="shared" si="37"/>
        <v>#REF!</v>
      </c>
      <c r="R239" s="21" t="e">
        <f t="shared" si="37"/>
        <v>#REF!</v>
      </c>
      <c r="S239" s="22" t="e">
        <f t="shared" si="37"/>
        <v>#REF!</v>
      </c>
      <c r="U239" s="64"/>
      <c r="V239" s="64"/>
      <c r="W239" s="64"/>
      <c r="X239" s="64"/>
      <c r="Y239" s="64"/>
      <c r="AA239" s="29"/>
      <c r="AB239" s="220"/>
    </row>
    <row r="240" spans="11:28" x14ac:dyDescent="0.2">
      <c r="K240" s="574"/>
      <c r="L240" s="20" t="s">
        <v>17</v>
      </c>
      <c r="M240" s="284" t="e">
        <f t="shared" si="37"/>
        <v>#REF!</v>
      </c>
      <c r="N240" s="21" t="e">
        <f t="shared" si="37"/>
        <v>#REF!</v>
      </c>
      <c r="O240" s="21" t="e">
        <f t="shared" si="37"/>
        <v>#REF!</v>
      </c>
      <c r="P240" s="21" t="e">
        <f t="shared" si="37"/>
        <v>#REF!</v>
      </c>
      <c r="Q240" s="21" t="e">
        <f t="shared" si="37"/>
        <v>#REF!</v>
      </c>
      <c r="R240" s="21" t="e">
        <f t="shared" si="37"/>
        <v>#REF!</v>
      </c>
      <c r="S240" s="22" t="e">
        <f t="shared" si="37"/>
        <v>#REF!</v>
      </c>
      <c r="U240" s="64"/>
      <c r="V240" s="64"/>
      <c r="W240" s="64"/>
      <c r="X240" s="64"/>
      <c r="Y240" s="64"/>
      <c r="Z240" s="289"/>
      <c r="AA240" s="29"/>
      <c r="AB240" s="220"/>
    </row>
    <row r="241" spans="10:28" ht="13.5" thickBot="1" x14ac:dyDescent="0.25">
      <c r="K241" s="575"/>
      <c r="L241" s="23" t="s">
        <v>7</v>
      </c>
      <c r="M241" s="288" t="e">
        <f t="shared" si="37"/>
        <v>#REF!</v>
      </c>
      <c r="N241" s="24" t="e">
        <f t="shared" si="37"/>
        <v>#REF!</v>
      </c>
      <c r="O241" s="24" t="e">
        <f t="shared" si="37"/>
        <v>#REF!</v>
      </c>
      <c r="P241" s="24" t="e">
        <f t="shared" si="37"/>
        <v>#REF!</v>
      </c>
      <c r="Q241" s="24" t="e">
        <f t="shared" si="37"/>
        <v>#REF!</v>
      </c>
      <c r="R241" s="24" t="e">
        <f t="shared" si="37"/>
        <v>#REF!</v>
      </c>
      <c r="S241" s="25" t="e">
        <f t="shared" si="37"/>
        <v>#REF!</v>
      </c>
      <c r="U241" s="64"/>
      <c r="V241" s="64"/>
      <c r="W241" s="64"/>
      <c r="X241" s="64"/>
      <c r="Y241" s="64"/>
      <c r="AA241" s="29"/>
      <c r="AB241" s="220"/>
    </row>
    <row r="242" spans="10:28" x14ac:dyDescent="0.2">
      <c r="J242" s="302"/>
      <c r="K242" s="264"/>
      <c r="L242" s="264"/>
      <c r="M242" s="264"/>
      <c r="N242" s="264"/>
      <c r="O242" s="264"/>
      <c r="P242" s="264"/>
      <c r="Q242" s="264"/>
      <c r="R242" s="264"/>
      <c r="S242" s="264"/>
      <c r="T242" s="264"/>
      <c r="U242" s="303"/>
      <c r="V242" s="303"/>
      <c r="W242" s="303"/>
      <c r="X242" s="303"/>
      <c r="Y242" s="303"/>
      <c r="Z242" s="305"/>
      <c r="AA242" s="29"/>
      <c r="AB242" s="220"/>
    </row>
    <row r="243" spans="10:28" ht="13.5" thickBot="1" x14ac:dyDescent="0.25">
      <c r="M243" s="27"/>
      <c r="U243" s="64"/>
      <c r="V243" s="64"/>
      <c r="W243" s="64"/>
      <c r="X243" s="64"/>
      <c r="Y243" s="64"/>
      <c r="AA243" s="29"/>
      <c r="AB243" s="220"/>
    </row>
    <row r="244" spans="10:28" ht="13.5" thickBot="1" x14ac:dyDescent="0.25">
      <c r="K244" s="41" t="s">
        <v>34</v>
      </c>
      <c r="L244" s="43"/>
      <c r="M244" s="290"/>
      <c r="N244" s="290"/>
      <c r="O244" s="290"/>
      <c r="P244" s="290"/>
      <c r="Q244" s="290"/>
      <c r="R244" s="290"/>
      <c r="S244" s="291"/>
      <c r="U244" s="64"/>
      <c r="V244" s="64"/>
      <c r="W244" s="64"/>
      <c r="X244" s="64"/>
      <c r="Y244" s="282" t="s">
        <v>27</v>
      </c>
      <c r="AA244" s="29"/>
      <c r="AB244" s="220"/>
    </row>
    <row r="245" spans="10:28" ht="13.5" thickBot="1" x14ac:dyDescent="0.25">
      <c r="K245" s="30" t="s">
        <v>25</v>
      </c>
      <c r="L245" s="19" t="s">
        <v>13</v>
      </c>
      <c r="M245" s="15">
        <v>1</v>
      </c>
      <c r="N245" s="15">
        <v>2</v>
      </c>
      <c r="O245" s="15">
        <v>3</v>
      </c>
      <c r="P245" s="15">
        <v>4</v>
      </c>
      <c r="Q245" s="15">
        <v>5</v>
      </c>
      <c r="R245" s="15">
        <v>6</v>
      </c>
      <c r="S245" s="16">
        <v>7</v>
      </c>
      <c r="U245" s="43" t="s">
        <v>34</v>
      </c>
      <c r="V245" s="43" t="s">
        <v>14</v>
      </c>
      <c r="W245" s="43"/>
      <c r="X245" s="261" t="e">
        <f>#REF!</f>
        <v>#REF!</v>
      </c>
      <c r="Y245" s="42" t="e">
        <f>#REF!</f>
        <v>#REF!</v>
      </c>
      <c r="Z245" s="285" t="s">
        <v>28</v>
      </c>
      <c r="AA245" s="29"/>
      <c r="AB245" s="220"/>
    </row>
    <row r="246" spans="10:28" ht="13.15" customHeight="1" thickBot="1" x14ac:dyDescent="0.25">
      <c r="K246" s="573" t="str">
        <f>$K$114</f>
        <v>OECD-Prämiensystem
&lt; 2 Jahre ohne CE</v>
      </c>
      <c r="L246" s="17" t="s">
        <v>202</v>
      </c>
      <c r="M246" s="301" t="e">
        <f>ROUND(ROUND($M$101,4)*_RLZ6+ROUND($N$101,4),2)</f>
        <v>#REF!</v>
      </c>
      <c r="N246" s="18" t="e">
        <f>ROUND(ROUND($O$101,4)*_RLZ6+ROUND($P$101,2),2)</f>
        <v>#REF!</v>
      </c>
      <c r="O246" s="18" t="e">
        <f>ROUND(ROUND($Q$101,4)*_RLZ6+ROUND($R$101,2),2)</f>
        <v>#REF!</v>
      </c>
      <c r="P246" s="18" t="e">
        <f>ROUND(ROUND($S$101,4)*_RLZ6+ROUND($T$101,4),2)</f>
        <v>#REF!</v>
      </c>
      <c r="Q246" s="18" t="e">
        <f>ROUND(ROUND($U$101,4)*_RLZ6+ROUND($V$101,2),2)</f>
        <v>#REF!</v>
      </c>
      <c r="R246" s="18" t="e">
        <f>ROUND(ROUND($W$101,4)*_RLZ6+ROUND($X$101,2),2)</f>
        <v>#REF!</v>
      </c>
      <c r="S246" s="31" t="e">
        <f>ROUND(ROUND($Y$101,4)*_RLZ6+ROUND($Z$101,2),2)</f>
        <v>#REF!</v>
      </c>
      <c r="U246" s="286" t="e">
        <f>CE_6</f>
        <v>#REF!</v>
      </c>
      <c r="V246" s="32" t="s">
        <v>16</v>
      </c>
      <c r="W246" s="32"/>
      <c r="X246" s="269" t="e">
        <f>#REF!</f>
        <v>#REF!</v>
      </c>
      <c r="Y246" s="32" t="s">
        <v>29</v>
      </c>
      <c r="Z246" s="287" t="e">
        <f>IF(X246="n.v.","n.v.",Y253)</f>
        <v>#REF!</v>
      </c>
      <c r="AA246" s="29"/>
      <c r="AB246" s="220"/>
    </row>
    <row r="247" spans="10:28" x14ac:dyDescent="0.2">
      <c r="K247" s="574"/>
      <c r="L247" s="20" t="s">
        <v>203</v>
      </c>
      <c r="M247" s="284" t="e">
        <f>ROUND(ROUND($M$104,4)*_RLZ6+ROUND($N$104,2),2)</f>
        <v>#REF!</v>
      </c>
      <c r="N247" s="21" t="e">
        <f>ROUND(ROUND($O$104,4)*_RLZ6+ROUND($P$104,2),2)</f>
        <v>#REF!</v>
      </c>
      <c r="O247" s="21" t="e">
        <f>ROUND(ROUND($Q$104,4)*_RLZ6+ROUND($R$104,2),2)</f>
        <v>#REF!</v>
      </c>
      <c r="P247" s="21" t="e">
        <f>ROUND(ROUND($S$104,4)*_RLZ6+ROUND($T$104,2),2)</f>
        <v>#REF!</v>
      </c>
      <c r="Q247" s="21" t="e">
        <f>ROUND(ROUND($U$104,4)*_RLZ6+ROUND($V$104,2),2)</f>
        <v>#REF!</v>
      </c>
      <c r="R247" s="21" t="e">
        <f>ROUND(ROUND($W$104,4)*_RLZ6+ROUND($X$104,2),2)</f>
        <v>#REF!</v>
      </c>
      <c r="S247" s="22" t="e">
        <f>ROUND(ROUND($Y$104,4)*_RLZ6+ROUND($Z$104,2),2)</f>
        <v>#REF!</v>
      </c>
      <c r="AA247" s="29"/>
      <c r="AB247" s="220"/>
    </row>
    <row r="248" spans="10:28" x14ac:dyDescent="0.2">
      <c r="K248" s="574"/>
      <c r="L248" s="20" t="s">
        <v>204</v>
      </c>
      <c r="M248" s="284" t="e">
        <f>ROUND(ROUND($M$105,4)*_RLZ6+ROUND($N$105,2),2)</f>
        <v>#REF!</v>
      </c>
      <c r="N248" s="21" t="e">
        <f>ROUND(ROUND($O$105,4)*_RLZ6+ROUND($P$105,2),2)</f>
        <v>#REF!</v>
      </c>
      <c r="O248" s="21" t="e">
        <f>ROUND(ROUND($Q$105,4)*_RLZ6+ROUND($R$105,2),2)</f>
        <v>#REF!</v>
      </c>
      <c r="P248" s="21" t="e">
        <f>ROUND(ROUND($S$105,4)*_RLZ6+ROUND($T$105,2),2)</f>
        <v>#REF!</v>
      </c>
      <c r="Q248" s="21" t="e">
        <f>ROUND(ROUND($U$105,4)*_RLZ6+ROUND($V$105,4),2)</f>
        <v>#REF!</v>
      </c>
      <c r="R248" s="21" t="e">
        <f>ROUND(ROUND($W$105,4)*_RLZ6+ROUND($X$105,2),2)</f>
        <v>#REF!</v>
      </c>
      <c r="S248" s="22" t="e">
        <f>ROUND(ROUND($Y$105,4)*_RLZ6+ROUND($Z$105,2),2)</f>
        <v>#REF!</v>
      </c>
      <c r="U248" s="64"/>
      <c r="V248" s="96" t="s">
        <v>126</v>
      </c>
      <c r="W248" s="64"/>
      <c r="X248" s="64"/>
      <c r="Y248" s="64"/>
      <c r="AA248" s="29"/>
      <c r="AB248" s="220"/>
    </row>
    <row r="249" spans="10:28" x14ac:dyDescent="0.2">
      <c r="K249" s="574"/>
      <c r="L249" s="20" t="s">
        <v>205</v>
      </c>
      <c r="M249" s="284" t="e">
        <f>ROUND(ROUND($M$106,4)*_RLZ6+ROUND($N$106,2),2)</f>
        <v>#REF!</v>
      </c>
      <c r="N249" s="21" t="e">
        <f>ROUND(ROUND($O$106,4)*_RLZ6+ROUND($P$106,2),2)</f>
        <v>#REF!</v>
      </c>
      <c r="O249" s="21" t="e">
        <f>ROUND(ROUND($Q$106,4)*_RLZ6+ROUND($R$106,2),2)</f>
        <v>#REF!</v>
      </c>
      <c r="P249" s="21" t="e">
        <f>ROUND(ROUND($S$106,4)*_RLZ6+ROUND($T$106,2),2)</f>
        <v>#REF!</v>
      </c>
      <c r="Q249" s="21" t="e">
        <f>ROUND(ROUND($U$106,4)*_RLZ6+ROUND($V$106,2),2)</f>
        <v>#REF!</v>
      </c>
      <c r="R249" s="21" t="e">
        <f>ROUND(ROUND($W$106,4)*_RLZ6+ROUND($X$106,2),2)</f>
        <v>#REF!</v>
      </c>
      <c r="S249" s="22" t="s">
        <v>21</v>
      </c>
      <c r="U249" s="64"/>
      <c r="V249" s="96" t="s">
        <v>127</v>
      </c>
      <c r="W249" s="257" t="e">
        <f>X245</f>
        <v>#REF!</v>
      </c>
      <c r="X249" s="64" t="e">
        <f>X246</f>
        <v>#REF!</v>
      </c>
      <c r="Y249" s="257" t="e">
        <f>IF(X249="n.v.","n.v.",ROUND(VLOOKUP(X249,L245:S254,W249+1),2))</f>
        <v>#REF!</v>
      </c>
      <c r="AA249" s="29"/>
      <c r="AB249" s="220"/>
    </row>
    <row r="250" spans="10:28" x14ac:dyDescent="0.2">
      <c r="K250" s="574"/>
      <c r="L250" s="20" t="s">
        <v>206</v>
      </c>
      <c r="M250" s="284" t="e">
        <f>ROUND(ROUND($M$107,4)*_RLZ6+ROUND($N$107,2),2)</f>
        <v>#REF!</v>
      </c>
      <c r="N250" s="21" t="e">
        <f>ROUND(ROUND($O$107,4)*_RLZ6+ROUND($P$107,2),2)</f>
        <v>#REF!</v>
      </c>
      <c r="O250" s="21" t="e">
        <f>ROUND(ROUND($Q$107,4)*_RLZ6+ROUND($R$107,2),2)</f>
        <v>#REF!</v>
      </c>
      <c r="P250" s="21" t="e">
        <f>ROUND(ROUND($S$107,4)*_RLZ6+ROUND($T$107,2),2)</f>
        <v>#REF!</v>
      </c>
      <c r="Q250" s="21" t="e">
        <f>ROUND(ROUND($U$107,4)*_RLZ6+ROUND($V$107,4),2)</f>
        <v>#REF!</v>
      </c>
      <c r="R250" s="21" t="s">
        <v>21</v>
      </c>
      <c r="S250" s="22" t="s">
        <v>21</v>
      </c>
      <c r="U250" s="64"/>
      <c r="V250" s="96" t="s">
        <v>127</v>
      </c>
      <c r="W250" s="257" t="e">
        <f>W249</f>
        <v>#REF!</v>
      </c>
      <c r="X250" s="64" t="s">
        <v>10</v>
      </c>
      <c r="Y250" s="257" t="e">
        <f>ROUND(VLOOKUP(X250,L245:S254,W250+1),2)</f>
        <v>#REF!</v>
      </c>
      <c r="AA250" s="29"/>
      <c r="AB250" s="220"/>
    </row>
    <row r="251" spans="10:28" ht="13.5" thickBot="1" x14ac:dyDescent="0.25">
      <c r="K251" s="574"/>
      <c r="L251" s="23" t="s">
        <v>207</v>
      </c>
      <c r="M251" s="284" t="e">
        <f>ROUND(ROUND($M$108,4)*_RLZ6+ROUND($N$108,2),2)</f>
        <v>#REF!</v>
      </c>
      <c r="N251" s="21" t="e">
        <f>ROUND(ROUND($O$108,4)*_RLZ6+ROUND($P$108,2),2)</f>
        <v>#REF!</v>
      </c>
      <c r="O251" s="21" t="e">
        <f>ROUND(ROUND($Q$108,4)*_RLZ6+ROUND($R$108,2),2)</f>
        <v>#REF!</v>
      </c>
      <c r="P251" s="21" t="e">
        <f>ROUND(ROUND($S$108,4)*_RLZ6+ROUND($T$108,2),2)</f>
        <v>#REF!</v>
      </c>
      <c r="Q251" s="21" t="s">
        <v>21</v>
      </c>
      <c r="R251" s="21" t="s">
        <v>21</v>
      </c>
      <c r="S251" s="22" t="s">
        <v>21</v>
      </c>
      <c r="U251" s="64"/>
      <c r="V251" s="64" t="s">
        <v>128</v>
      </c>
      <c r="W251" s="64"/>
      <c r="X251" s="64"/>
      <c r="Y251" s="257" t="e">
        <f>Y249-Y250</f>
        <v>#REF!</v>
      </c>
      <c r="AA251" s="29"/>
      <c r="AB251" s="220"/>
    </row>
    <row r="252" spans="10:28" x14ac:dyDescent="0.2">
      <c r="K252" s="574"/>
      <c r="L252" s="34" t="s">
        <v>15</v>
      </c>
      <c r="M252" s="284" t="e">
        <f>ROUND(ROUND($M$101,4)*_RLZ6+ROUND($N$101,2),2)</f>
        <v>#REF!</v>
      </c>
      <c r="N252" s="21" t="e">
        <f>ROUND(ROUND($O$101,4)*_RLZ6+ROUND($P$101,2),2)</f>
        <v>#REF!</v>
      </c>
      <c r="O252" s="21" t="e">
        <f>ROUND(ROUND($Q$101,4)*_RLZ6+ROUND($R$101,2),2)</f>
        <v>#REF!</v>
      </c>
      <c r="P252" s="21" t="e">
        <f>ROUND(ROUND($S$101,4)*_RLZ6+ROUND($T$101,2),2)</f>
        <v>#REF!</v>
      </c>
      <c r="Q252" s="21" t="e">
        <f>ROUND($U$101,4)*_RLZ6+ROUND($V$101,2)</f>
        <v>#REF!</v>
      </c>
      <c r="R252" s="21" t="e">
        <f>ROUND(ROUND($W$101,4)*_RLZ6+ROUND($X$101,2),2)</f>
        <v>#REF!</v>
      </c>
      <c r="S252" s="22" t="e">
        <f>ROUND(ROUND($Y$101,4)*_RLZ6+ROUND($Z$101,2),2)</f>
        <v>#REF!</v>
      </c>
      <c r="U252" s="64"/>
      <c r="V252" s="96" t="s">
        <v>129</v>
      </c>
      <c r="W252" s="262" t="e">
        <f>U246</f>
        <v>#REF!</v>
      </c>
      <c r="X252" s="64"/>
      <c r="Y252" s="257" t="e">
        <f>ROUNDDOWN(Y251*W252,2)</f>
        <v>#REF!</v>
      </c>
      <c r="AA252" s="29"/>
      <c r="AB252" s="220"/>
    </row>
    <row r="253" spans="10:28" x14ac:dyDescent="0.2">
      <c r="K253" s="574"/>
      <c r="L253" s="20" t="s">
        <v>17</v>
      </c>
      <c r="M253" s="284" t="e">
        <f>ROUND(ROUND($M$102,4)*_RLZ6+ROUND($N$102,2),2)</f>
        <v>#REF!</v>
      </c>
      <c r="N253" s="21" t="e">
        <f>ROUND(ROUND($O$102,4)*_RLZ6+ROUND($P$102,2),2)</f>
        <v>#REF!</v>
      </c>
      <c r="O253" s="21" t="e">
        <f>ROUND(ROUND($Q$102,4)*_RLZ6+ROUND($R$102,2),2)</f>
        <v>#REF!</v>
      </c>
      <c r="P253" s="21" t="e">
        <f>ROUND(ROUND($S$102,4)*_RLZ6+ROUND($T$102,2),2)</f>
        <v>#REF!</v>
      </c>
      <c r="Q253" s="21" t="e">
        <f>ROUND(ROUND($U$102,4)*_RLZ6+ROUND($V$102,2),2)</f>
        <v>#REF!</v>
      </c>
      <c r="R253" s="21" t="e">
        <f>ROUND(ROUND($W$102,4)*_RLZ6+ROUND($X$102,2),2)</f>
        <v>#REF!</v>
      </c>
      <c r="S253" s="22" t="e">
        <f>ROUND($Y$102,4)*_RLZ6+ROUND($Z$102,2)</f>
        <v>#REF!</v>
      </c>
      <c r="T253" s="576" t="s">
        <v>135</v>
      </c>
      <c r="U253" s="577"/>
      <c r="V253" s="577"/>
      <c r="W253" s="257" t="e">
        <f>W249</f>
        <v>#REF!</v>
      </c>
      <c r="X253" s="64" t="e">
        <f>X249</f>
        <v>#REF!</v>
      </c>
      <c r="Y253" s="257" t="e">
        <f>IF(X249="n.v.","n.v.",Y249-Y252)</f>
        <v>#REF!</v>
      </c>
      <c r="AA253" s="29"/>
      <c r="AB253" s="220"/>
    </row>
    <row r="254" spans="10:28" ht="13.5" thickBot="1" x14ac:dyDescent="0.25">
      <c r="K254" s="575"/>
      <c r="L254" s="23" t="s">
        <v>7</v>
      </c>
      <c r="M254" s="288" t="e">
        <f>ROUND(ROUND($M$100,4)*_RLZ6+ROUND($N$100,2),2)</f>
        <v>#REF!</v>
      </c>
      <c r="N254" s="24" t="e">
        <f>ROUND(ROUND($O$100,4)*_RLZ6+ROUND($P$100,2),2)</f>
        <v>#REF!</v>
      </c>
      <c r="O254" s="24" t="e">
        <f>ROUND(ROUND($Q$100,4)*_RLZ6+ROUND($R$100,2),2)</f>
        <v>#REF!</v>
      </c>
      <c r="P254" s="24" t="e">
        <f>ROUND(ROUND($S$100,4)*_RLZ6+ROUND($T$100,2),2)</f>
        <v>#REF!</v>
      </c>
      <c r="Q254" s="24" t="e">
        <f>ROUND(ROUND($U$100,4)*_RLZ6+ROUND($V$100,2),2)</f>
        <v>#REF!</v>
      </c>
      <c r="R254" s="24" t="e">
        <f>ROUND(ROUND($W$100,4)*_RLZ6+ROUND($X$100,2),2)</f>
        <v>#REF!</v>
      </c>
      <c r="S254" s="25" t="e">
        <f>ROUND(ROUND($Y$100,4)*_RLZ6+ROUND($Z$100,2),2)</f>
        <v>#REF!</v>
      </c>
      <c r="U254" s="64"/>
      <c r="V254" s="64"/>
      <c r="W254" s="64"/>
      <c r="X254" s="64"/>
      <c r="Y254" s="64"/>
      <c r="AA254" s="29"/>
      <c r="AB254" s="220"/>
    </row>
    <row r="255" spans="10:28" ht="13.5" thickBot="1" x14ac:dyDescent="0.25">
      <c r="K255" s="41" t="s">
        <v>34</v>
      </c>
      <c r="L255" s="43"/>
      <c r="M255" s="290"/>
      <c r="N255" s="290"/>
      <c r="O255" s="290"/>
      <c r="P255" s="290"/>
      <c r="Q255" s="290"/>
      <c r="R255" s="290"/>
      <c r="S255" s="291"/>
      <c r="U255" s="64"/>
      <c r="V255" s="64"/>
      <c r="W255" s="64"/>
      <c r="X255" s="64"/>
      <c r="Y255" s="64"/>
      <c r="AA255" s="29"/>
      <c r="AB255" s="220"/>
    </row>
    <row r="256" spans="10:28" ht="13.5" thickBot="1" x14ac:dyDescent="0.25">
      <c r="K256" s="30" t="s">
        <v>25</v>
      </c>
      <c r="L256" s="19" t="s">
        <v>13</v>
      </c>
      <c r="M256" s="15">
        <v>1</v>
      </c>
      <c r="N256" s="15">
        <v>2</v>
      </c>
      <c r="O256" s="15">
        <v>3</v>
      </c>
      <c r="P256" s="15">
        <v>4</v>
      </c>
      <c r="Q256" s="15">
        <v>5</v>
      </c>
      <c r="R256" s="15">
        <v>6</v>
      </c>
      <c r="S256" s="16">
        <v>7</v>
      </c>
      <c r="U256" s="64"/>
      <c r="V256" s="64"/>
      <c r="W256" s="64"/>
      <c r="X256" s="64"/>
      <c r="Y256" s="64"/>
      <c r="AA256" s="29"/>
      <c r="AB256" s="220"/>
    </row>
    <row r="257" spans="11:28" x14ac:dyDescent="0.2">
      <c r="K257" s="573" t="str">
        <f>K233</f>
        <v>OECD-Prämiensystem
&lt; 2 Jahre mit CE</v>
      </c>
      <c r="L257" s="17" t="s">
        <v>202</v>
      </c>
      <c r="M257" s="301" t="e">
        <f>ROUND(ROUND($M$101,4)*_RLZ6+ROUND($N$101,4),2)</f>
        <v>#REF!</v>
      </c>
      <c r="N257" s="18" t="e">
        <f>ROUND(ROUND($O$101,4)*_RLZ6+ROUND($P$101,2),2)</f>
        <v>#REF!</v>
      </c>
      <c r="O257" s="18" t="e">
        <f>ROUND(ROUND($Q$101,4)*_RLZ6+ROUND($R$101,2),2)</f>
        <v>#REF!</v>
      </c>
      <c r="P257" s="18" t="e">
        <f>ROUND(ROUND($S$101,4)*_RLZ6+ROUND($T$101,4),2)</f>
        <v>#REF!</v>
      </c>
      <c r="Q257" s="18" t="e">
        <f>ROUND(ROUND($U$101,4)*_RLZ6+ROUND($V$101,2),2)</f>
        <v>#REF!</v>
      </c>
      <c r="R257" s="18" t="e">
        <f>ROUND(ROUND($W$101,4)*_RLZ6+ROUND($X$101,2),2)</f>
        <v>#REF!</v>
      </c>
      <c r="S257" s="31" t="e">
        <f>ROUND(ROUND($Y$101,4)*_RLZ6+ROUND($Z$101,2),2)</f>
        <v>#REF!</v>
      </c>
      <c r="U257" s="64"/>
      <c r="V257" s="306" t="s">
        <v>138</v>
      </c>
      <c r="W257" s="257" t="e">
        <f>W249</f>
        <v>#REF!</v>
      </c>
      <c r="X257" s="64" t="e">
        <f>X249</f>
        <v>#REF!</v>
      </c>
      <c r="Y257" s="257" t="e">
        <f>IF(X249="n.v.","n.v.",ROUND(VLOOKUP(X246,L256:S265,X245+1),4))</f>
        <v>#REF!</v>
      </c>
      <c r="AA257" s="29"/>
      <c r="AB257" s="220"/>
    </row>
    <row r="258" spans="11:28" ht="13.9" customHeight="1" x14ac:dyDescent="0.2">
      <c r="K258" s="574"/>
      <c r="L258" s="20" t="s">
        <v>203</v>
      </c>
      <c r="M258" s="284" t="e">
        <f>ROUND(ROUND(ROUND($M$104,4)*_RLZ6+ROUND($N$104,2),2)*(1-CE_6)+$M$137*CE_6,2)</f>
        <v>#REF!</v>
      </c>
      <c r="N258" s="21" t="e">
        <f>ROUND(ROUND(ROUND($O$104,4)*_RLZ6+ROUND($P$104,2),2)*(1-CE_6)+N$137*CE_6,2)</f>
        <v>#REF!</v>
      </c>
      <c r="O258" s="21" t="e">
        <f>ROUND(ROUND(ROUND($Q$104,4)*_RLZ6+ROUND($R$104,2),2)*(1-CE_6)+$O257*CE_6,2)</f>
        <v>#REF!</v>
      </c>
      <c r="P258" s="21" t="e">
        <f>ROUND(ROUND(ROUND($S$104,4)*_RLZ6+ROUND($T$104,2),2)*(1-CE_6)+$P257*CE_6,2)</f>
        <v>#REF!</v>
      </c>
      <c r="Q258" s="21" t="e">
        <f>ROUND(ROUND(ROUND($U$104,4)*_RLZ6+ROUND($V$104,2),2)*(1-CE_6)+$Q257*CE_6,2)</f>
        <v>#REF!</v>
      </c>
      <c r="R258" s="21" t="e">
        <f>ROUND(ROUND(ROUND($W$104,4)*_RLZ6+ROUND($X$104,2),2)*(1-CE_6)+$R257*CE_6,2)</f>
        <v>#REF!</v>
      </c>
      <c r="S258" s="22" t="e">
        <f>ROUND(ROUND(ROUND($Y$104,4)*_RLZ6+ROUND($Z$104,2),2)*(1-CE_6)+$S257*CE_6,2)</f>
        <v>#REF!</v>
      </c>
      <c r="U258" s="64"/>
      <c r="V258" s="64"/>
      <c r="W258" s="64"/>
      <c r="X258" s="64"/>
      <c r="Y258" s="64"/>
      <c r="AA258" s="29"/>
      <c r="AB258" s="220"/>
    </row>
    <row r="259" spans="11:28" ht="13.9" customHeight="1" x14ac:dyDescent="0.2">
      <c r="K259" s="574"/>
      <c r="L259" s="20" t="s">
        <v>204</v>
      </c>
      <c r="M259" s="284" t="e">
        <f>ROUND(ROUND(ROUND($M$105,4)*_RLZ6+ROUND($N$105,2),2)*(1-CE_6)+$M$137*CE_6,2)</f>
        <v>#REF!</v>
      </c>
      <c r="N259" s="21" t="e">
        <f>ROUND(ROUND(ROUND($O$105,4)*_RLZ6+ROUND($P$105,2),2)*(1-CE_6)+$N257*CE_6,2)</f>
        <v>#REF!</v>
      </c>
      <c r="O259" s="21" t="e">
        <f>ROUND(ROUND(ROUND($Q$105,4)*_RLZ6+ROUND($R$105,2),2)*(1-CE_6)+$O257*CE_6,2)</f>
        <v>#REF!</v>
      </c>
      <c r="P259" s="21" t="e">
        <f>ROUND(ROUND(ROUND($S$105,4)*_RLZ6+ROUND($T$105,2),2)*(1-CE_6)+$P257*CE_6,2)</f>
        <v>#REF!</v>
      </c>
      <c r="Q259" s="21" t="e">
        <f>ROUND(ROUND(ROUND($U$105,4)*_RLZ6+ROUND($V$105,4),2)*(1-CE_6)+$Q257*CE_6,2)</f>
        <v>#REF!</v>
      </c>
      <c r="R259" s="21" t="e">
        <f>ROUND(ROUND(ROUND($W$105,4)*_RLZ6+ROUND($X$105,2),2)*(1-CE_6)+$R257*CE_6,2)</f>
        <v>#REF!</v>
      </c>
      <c r="S259" s="22" t="e">
        <f>ROUND(ROUND(ROUND($Y$105,4)*_RLZ6+ROUND($Z$105,2),2)*(1-CE_6)+$S257*CE_6,2)</f>
        <v>#REF!</v>
      </c>
      <c r="U259" s="64"/>
      <c r="V259" s="64"/>
      <c r="W259" s="64"/>
      <c r="X259" s="64"/>
      <c r="Y259" s="64"/>
      <c r="AA259" s="29"/>
      <c r="AB259" s="220"/>
    </row>
    <row r="260" spans="11:28" x14ac:dyDescent="0.2">
      <c r="K260" s="574"/>
      <c r="L260" s="20" t="s">
        <v>205</v>
      </c>
      <c r="M260" s="284" t="e">
        <f>ROUND(ROUND(ROUND($M$106,4)*_RLZ6+ROUND($N$106,2),2)*(1-CE_6)+$M$137*CE_6,2)</f>
        <v>#REF!</v>
      </c>
      <c r="N260" s="21" t="e">
        <f>ROUND(ROUND(ROUND($O$106,4)*_RLZ6+ROUND($P$106,2),2)*(1-CE_6)+$N257*CE_6,2)</f>
        <v>#REF!</v>
      </c>
      <c r="O260" s="21" t="e">
        <f>ROUND(ROUND(ROUND($Q$106,4)*_RLZ6+ROUND($R$106,2),2)*(1-CE_6)+$O257*CE_6,2)</f>
        <v>#REF!</v>
      </c>
      <c r="P260" s="21" t="e">
        <f>ROUND(ROUND(ROUND($S$106,4)*_RLZ6+ROUND($T$106,2),2)*(1-CE_6)+$P257*CE_6,2)</f>
        <v>#REF!</v>
      </c>
      <c r="Q260" s="21" t="e">
        <f>ROUND(ROUND(ROUND($U$106,4)*_RLZ6+ROUND($V$106,2),2)*(1-CE_6)+$Q257*CE_6,2)</f>
        <v>#REF!</v>
      </c>
      <c r="R260" s="21" t="e">
        <f>ROUND(ROUND(ROUND($W$106,4)*_RLZ6+ROUND($X$106,2),2)*(1-CE_6)+$R257*CE_6,2)</f>
        <v>#REF!</v>
      </c>
      <c r="S260" s="22" t="s">
        <v>21</v>
      </c>
      <c r="U260" s="64"/>
      <c r="V260" s="64"/>
      <c r="W260" s="64"/>
      <c r="X260" s="64"/>
      <c r="Y260" s="64"/>
      <c r="AA260" s="29"/>
      <c r="AB260" s="220"/>
    </row>
    <row r="261" spans="11:28" x14ac:dyDescent="0.2">
      <c r="K261" s="574"/>
      <c r="L261" s="20" t="s">
        <v>206</v>
      </c>
      <c r="M261" s="284" t="e">
        <f>ROUND(ROUND(ROUND($M$107,4)*_RLZ6+ROUND($N$107,2),2)*(1-CE_6)+$M$137*CE_6,2)</f>
        <v>#REF!</v>
      </c>
      <c r="N261" s="21" t="e">
        <f>ROUND(ROUND(ROUND($O$107,4)*_RLZ6+ROUND($P$107,2),2)*(1-CE_6)+$N257*CE_6,2)</f>
        <v>#REF!</v>
      </c>
      <c r="O261" s="21" t="e">
        <f>ROUND(ROUND(ROUND($Q$107,4)*_RLZ6+ROUND($R$107,2),2)*(1-CE_6)+$O257*CE_6,2)</f>
        <v>#REF!</v>
      </c>
      <c r="P261" s="21" t="e">
        <f>ROUND(ROUND(ROUND($S$107,4)*_RLZ6+ROUND($T$107,2),2)*(1-CE_6)+$P257*CE_6,2)</f>
        <v>#REF!</v>
      </c>
      <c r="Q261" s="21" t="e">
        <f>ROUND(ROUND(ROUND($U$107,4)*_RLZ6+ROUND($V$107,4),2)*(1-CE_6)+$Q257*CE_6,2)</f>
        <v>#REF!</v>
      </c>
      <c r="R261" s="21" t="s">
        <v>21</v>
      </c>
      <c r="S261" s="22" t="s">
        <v>21</v>
      </c>
      <c r="U261" s="64"/>
      <c r="V261" s="64"/>
      <c r="W261" s="64"/>
      <c r="X261" s="64"/>
      <c r="Y261" s="64"/>
      <c r="AA261" s="29"/>
      <c r="AB261" s="220"/>
    </row>
    <row r="262" spans="11:28" ht="13.5" thickBot="1" x14ac:dyDescent="0.25">
      <c r="K262" s="574"/>
      <c r="L262" s="23" t="s">
        <v>207</v>
      </c>
      <c r="M262" s="284" t="e">
        <f>ROUND(ROUND(ROUND($M$108,4)*_RLZ6+ROUND($N$108,2),2)*(1-CE_6)+$M$137*CE_6,2)</f>
        <v>#REF!</v>
      </c>
      <c r="N262" s="21" t="e">
        <f>ROUND(ROUND(ROUND($O$108,4)*_RLZ6+ROUND($P$108,2),2)*(1-CE_6)+$N257*CE_6,2)</f>
        <v>#REF!</v>
      </c>
      <c r="O262" s="21" t="e">
        <f>ROUND(ROUND(ROUND($Q$108,4)*_RLZ6+ROUND($R$108,2),2)*(1-CE_6)+$O257*CE_6,2)</f>
        <v>#REF!</v>
      </c>
      <c r="P262" s="21" t="e">
        <f>ROUND(ROUND(ROUND($S$108,4)*_RLZ6+ROUND($T$108,2),2)*(1-CE_6)+$P257*CE_6,2)</f>
        <v>#REF!</v>
      </c>
      <c r="Q262" s="21" t="s">
        <v>21</v>
      </c>
      <c r="R262" s="21" t="s">
        <v>21</v>
      </c>
      <c r="S262" s="22" t="s">
        <v>21</v>
      </c>
      <c r="U262" s="64"/>
      <c r="V262" s="64"/>
      <c r="W262" s="64"/>
      <c r="X262" s="64"/>
      <c r="Y262" s="64"/>
      <c r="AA262" s="29"/>
      <c r="AB262" s="220"/>
    </row>
    <row r="263" spans="11:28" x14ac:dyDescent="0.2">
      <c r="K263" s="574"/>
      <c r="L263" s="34" t="s">
        <v>15</v>
      </c>
      <c r="M263" s="284" t="e">
        <f t="shared" ref="M263:S265" si="38">M252</f>
        <v>#REF!</v>
      </c>
      <c r="N263" s="21" t="e">
        <f t="shared" si="38"/>
        <v>#REF!</v>
      </c>
      <c r="O263" s="21" t="e">
        <f t="shared" si="38"/>
        <v>#REF!</v>
      </c>
      <c r="P263" s="21" t="e">
        <f t="shared" si="38"/>
        <v>#REF!</v>
      </c>
      <c r="Q263" s="21" t="e">
        <f t="shared" si="38"/>
        <v>#REF!</v>
      </c>
      <c r="R263" s="21" t="e">
        <f>R252</f>
        <v>#REF!</v>
      </c>
      <c r="S263" s="22" t="e">
        <f>S252</f>
        <v>#REF!</v>
      </c>
      <c r="U263" s="64"/>
      <c r="V263" s="64"/>
      <c r="W263" s="64"/>
      <c r="X263" s="64"/>
      <c r="Y263" s="64"/>
      <c r="AA263" s="29"/>
      <c r="AB263" s="307"/>
    </row>
    <row r="264" spans="11:28" x14ac:dyDescent="0.2">
      <c r="K264" s="574"/>
      <c r="L264" s="20" t="s">
        <v>17</v>
      </c>
      <c r="M264" s="284" t="e">
        <f t="shared" si="38"/>
        <v>#REF!</v>
      </c>
      <c r="N264" s="21" t="e">
        <f t="shared" si="38"/>
        <v>#REF!</v>
      </c>
      <c r="O264" s="21" t="e">
        <f t="shared" si="38"/>
        <v>#REF!</v>
      </c>
      <c r="P264" s="21" t="e">
        <f t="shared" si="38"/>
        <v>#REF!</v>
      </c>
      <c r="Q264" s="21" t="e">
        <f t="shared" si="38"/>
        <v>#REF!</v>
      </c>
      <c r="R264" s="21" t="e">
        <f t="shared" si="38"/>
        <v>#REF!</v>
      </c>
      <c r="S264" s="22" t="e">
        <f t="shared" si="38"/>
        <v>#REF!</v>
      </c>
      <c r="U264" s="64"/>
      <c r="V264" s="64"/>
      <c r="W264" s="64"/>
      <c r="X264" s="64"/>
      <c r="Y264" s="64"/>
      <c r="AA264" s="29"/>
      <c r="AB264" s="220"/>
    </row>
    <row r="265" spans="11:28" ht="13.5" thickBot="1" x14ac:dyDescent="0.25">
      <c r="K265" s="575"/>
      <c r="L265" s="23" t="s">
        <v>7</v>
      </c>
      <c r="M265" s="288" t="e">
        <f t="shared" si="38"/>
        <v>#REF!</v>
      </c>
      <c r="N265" s="24" t="e">
        <f t="shared" si="38"/>
        <v>#REF!</v>
      </c>
      <c r="O265" s="24" t="e">
        <f t="shared" si="38"/>
        <v>#REF!</v>
      </c>
      <c r="P265" s="24" t="e">
        <f t="shared" si="38"/>
        <v>#REF!</v>
      </c>
      <c r="Q265" s="24" t="e">
        <f t="shared" si="38"/>
        <v>#REF!</v>
      </c>
      <c r="R265" s="24" t="e">
        <f t="shared" si="38"/>
        <v>#REF!</v>
      </c>
      <c r="S265" s="25" t="e">
        <f t="shared" si="38"/>
        <v>#REF!</v>
      </c>
      <c r="U265" s="64"/>
      <c r="V265" s="64"/>
      <c r="W265" s="64"/>
      <c r="X265" s="64"/>
      <c r="Y265" s="64"/>
      <c r="AA265" s="29"/>
      <c r="AB265" s="220"/>
    </row>
    <row r="266" spans="11:28" x14ac:dyDescent="0.2">
      <c r="U266" s="64"/>
      <c r="V266" s="64"/>
      <c r="W266" s="64"/>
      <c r="X266" s="64"/>
      <c r="Y266" s="64"/>
      <c r="AA266" s="29"/>
      <c r="AB266" s="220"/>
    </row>
    <row r="267" spans="11:28" ht="13.5" thickBot="1" x14ac:dyDescent="0.25">
      <c r="U267" s="64"/>
      <c r="V267" s="64"/>
      <c r="W267" s="64"/>
      <c r="X267" s="64"/>
      <c r="Y267" s="64"/>
      <c r="AA267" s="29"/>
      <c r="AB267" s="220"/>
    </row>
    <row r="268" spans="11:28" ht="13.5" thickBot="1" x14ac:dyDescent="0.25">
      <c r="K268" s="41" t="s">
        <v>35</v>
      </c>
      <c r="L268" s="43"/>
      <c r="M268" s="290"/>
      <c r="N268" s="290"/>
      <c r="O268" s="290"/>
      <c r="P268" s="290"/>
      <c r="Q268" s="290"/>
      <c r="R268" s="290"/>
      <c r="S268" s="291"/>
      <c r="U268" s="64"/>
      <c r="V268" s="64"/>
      <c r="W268" s="64"/>
      <c r="X268" s="64"/>
      <c r="Y268" s="282" t="s">
        <v>27</v>
      </c>
      <c r="AA268" s="29"/>
      <c r="AB268" s="220"/>
    </row>
    <row r="269" spans="11:28" ht="13.5" thickBot="1" x14ac:dyDescent="0.25">
      <c r="K269" s="30" t="s">
        <v>25</v>
      </c>
      <c r="L269" s="19" t="s">
        <v>13</v>
      </c>
      <c r="M269" s="15">
        <v>1</v>
      </c>
      <c r="N269" s="15">
        <v>2</v>
      </c>
      <c r="O269" s="15">
        <v>3</v>
      </c>
      <c r="P269" s="15">
        <v>4</v>
      </c>
      <c r="Q269" s="15">
        <v>5</v>
      </c>
      <c r="R269" s="15">
        <v>6</v>
      </c>
      <c r="S269" s="16">
        <v>7</v>
      </c>
      <c r="U269" s="43" t="s">
        <v>35</v>
      </c>
      <c r="V269" s="43" t="s">
        <v>14</v>
      </c>
      <c r="W269" s="43"/>
      <c r="X269" s="261" t="e">
        <f>#REF!</f>
        <v>#REF!</v>
      </c>
      <c r="Y269" s="42" t="e">
        <f>#REF!</f>
        <v>#REF!</v>
      </c>
      <c r="Z269" s="285" t="s">
        <v>28</v>
      </c>
      <c r="AA269" s="29"/>
      <c r="AB269" s="220"/>
    </row>
    <row r="270" spans="11:28" ht="13.15" customHeight="1" thickBot="1" x14ac:dyDescent="0.25">
      <c r="K270" s="573" t="str">
        <f>$K$114</f>
        <v>OECD-Prämiensystem
&lt; 2 Jahre ohne CE</v>
      </c>
      <c r="L270" s="17" t="s">
        <v>202</v>
      </c>
      <c r="M270" s="301" t="e">
        <f>ROUND(ROUND($M$101,4)*_RLZ7+ROUND($N$101,4),2)</f>
        <v>#REF!</v>
      </c>
      <c r="N270" s="18" t="e">
        <f>ROUND(ROUND($O$101,4)*_RLZ7+ROUND($P$101,2),2)</f>
        <v>#REF!</v>
      </c>
      <c r="O270" s="18" t="e">
        <f>ROUND(ROUND($Q$101,4)*_RLZ7+ROUND($R$101,2),2)</f>
        <v>#REF!</v>
      </c>
      <c r="P270" s="18" t="e">
        <f>ROUND(ROUND($S$101,4)*_RLZ7+ROUND($T$101,4),2)</f>
        <v>#REF!</v>
      </c>
      <c r="Q270" s="18" t="e">
        <f>ROUND(ROUND($U$101,4)*_RLZ7+ROUND($V$101,2),2)</f>
        <v>#REF!</v>
      </c>
      <c r="R270" s="18" t="e">
        <f>ROUND(ROUND($W$101,4)*_RLZ7+ROUND($X$101,2),2)</f>
        <v>#REF!</v>
      </c>
      <c r="S270" s="31" t="e">
        <f>ROUND(ROUND($Y$101,4)*_RLZ7+ROUND($Z$101,2),2)</f>
        <v>#REF!</v>
      </c>
      <c r="U270" s="286" t="e">
        <f>CE_7</f>
        <v>#REF!</v>
      </c>
      <c r="V270" s="32" t="s">
        <v>16</v>
      </c>
      <c r="W270" s="32"/>
      <c r="X270" s="269" t="e">
        <f>#REF!</f>
        <v>#REF!</v>
      </c>
      <c r="Y270" s="32" t="s">
        <v>29</v>
      </c>
      <c r="Z270" s="287" t="e">
        <f>IF(X270="n.v.","n.v.",Y277)</f>
        <v>#REF!</v>
      </c>
      <c r="AA270" s="29"/>
      <c r="AB270" s="220"/>
    </row>
    <row r="271" spans="11:28" x14ac:dyDescent="0.2">
      <c r="K271" s="574"/>
      <c r="L271" s="20" t="s">
        <v>203</v>
      </c>
      <c r="M271" s="284" t="e">
        <f>ROUND(ROUND($M$104,4)*_RLZ7+ROUND($N$104,2),2)</f>
        <v>#REF!</v>
      </c>
      <c r="N271" s="21" t="e">
        <f>ROUND(ROUND($O$104,4)*_RLZ7+ROUND($P$104,2),2)</f>
        <v>#REF!</v>
      </c>
      <c r="O271" s="21" t="e">
        <f>ROUND(ROUND($Q$104,4)*_RLZ7+ROUND($R$104,2),2)</f>
        <v>#REF!</v>
      </c>
      <c r="P271" s="21" t="e">
        <f>ROUND(ROUND($S$104,4)*_RLZ7+ROUND($T$104,2),2)</f>
        <v>#REF!</v>
      </c>
      <c r="Q271" s="21" t="e">
        <f>ROUND(ROUND($U$104,4)*_RLZ7+ROUND($V$104,2),2)</f>
        <v>#REF!</v>
      </c>
      <c r="R271" s="21" t="e">
        <f>ROUND(ROUND($W$104,4)*_RLZ7+ROUND($X$104,2),2)</f>
        <v>#REF!</v>
      </c>
      <c r="S271" s="22" t="e">
        <f>ROUND(ROUND($Y$104,4)*_RLZ7+ROUND($Z$104,2),2)</f>
        <v>#REF!</v>
      </c>
      <c r="AA271" s="29"/>
      <c r="AB271" s="220"/>
    </row>
    <row r="272" spans="11:28" x14ac:dyDescent="0.2">
      <c r="K272" s="574"/>
      <c r="L272" s="20" t="s">
        <v>204</v>
      </c>
      <c r="M272" s="284" t="e">
        <f>ROUND(ROUND($M$105,4)*_RLZ7+ROUND($N$105,2),2)</f>
        <v>#REF!</v>
      </c>
      <c r="N272" s="21" t="e">
        <f>ROUND(ROUND($O$105,4)*_RLZ7+ROUND($P$105,2),2)</f>
        <v>#REF!</v>
      </c>
      <c r="O272" s="21" t="e">
        <f>ROUND(ROUND($Q$105,4)*_RLZ7+ROUND($R$105,2),2)</f>
        <v>#REF!</v>
      </c>
      <c r="P272" s="21" t="e">
        <f>ROUND(ROUND($S$105,4)*_RLZ7+ROUND($T$105,2),2)</f>
        <v>#REF!</v>
      </c>
      <c r="Q272" s="21" t="e">
        <f>ROUND(ROUND($U$105,4)*_RLZ7+ROUND($V$105,4),2)</f>
        <v>#REF!</v>
      </c>
      <c r="R272" s="21" t="e">
        <f>ROUND(ROUND($W$105,4)*_RLZ7+ROUND($X$105,2),2)</f>
        <v>#REF!</v>
      </c>
      <c r="S272" s="22" t="e">
        <f>ROUND(ROUND($Y$105,4)*_RLZ7+ROUND($Z$105,2),2)</f>
        <v>#REF!</v>
      </c>
      <c r="U272" s="64"/>
      <c r="V272" s="96" t="s">
        <v>126</v>
      </c>
      <c r="W272" s="64"/>
      <c r="X272" s="64"/>
      <c r="Y272" s="64"/>
      <c r="AA272" s="29"/>
      <c r="AB272" s="220"/>
    </row>
    <row r="273" spans="11:28" x14ac:dyDescent="0.2">
      <c r="K273" s="574"/>
      <c r="L273" s="20" t="s">
        <v>205</v>
      </c>
      <c r="M273" s="284" t="e">
        <f>ROUND(ROUND($M$106,4)*_RLZ7+ROUND($N$106,2),2)</f>
        <v>#REF!</v>
      </c>
      <c r="N273" s="21" t="e">
        <f>ROUND(ROUND($O$106,4)*_RLZ7+ROUND($P$106,2),2)</f>
        <v>#REF!</v>
      </c>
      <c r="O273" s="21" t="e">
        <f>ROUND(ROUND($Q$106,4)*_RLZ7+ROUND($R$106,2),2)</f>
        <v>#REF!</v>
      </c>
      <c r="P273" s="21" t="e">
        <f>ROUND(ROUND($S$106,4)*_RLZ7+ROUND($T$106,2),2)</f>
        <v>#REF!</v>
      </c>
      <c r="Q273" s="21" t="e">
        <f>ROUND(ROUND($U$106,4)*_RLZ7+ROUND($V$106,2),2)</f>
        <v>#REF!</v>
      </c>
      <c r="R273" s="21" t="e">
        <f>ROUND(ROUND($W$106,4)*_RLZ7+ROUND($X$106,2),2)</f>
        <v>#REF!</v>
      </c>
      <c r="S273" s="22" t="s">
        <v>21</v>
      </c>
      <c r="U273" s="64"/>
      <c r="V273" s="96" t="s">
        <v>127</v>
      </c>
      <c r="W273" s="257" t="e">
        <f>X269</f>
        <v>#REF!</v>
      </c>
      <c r="X273" s="64" t="e">
        <f>X270</f>
        <v>#REF!</v>
      </c>
      <c r="Y273" s="257" t="e">
        <f>IF(X273="n.v.","n.v.",ROUND(VLOOKUP(X273,L269:S278,W273+1),2))</f>
        <v>#REF!</v>
      </c>
      <c r="AA273" s="29"/>
      <c r="AB273" s="220"/>
    </row>
    <row r="274" spans="11:28" x14ac:dyDescent="0.2">
      <c r="K274" s="574"/>
      <c r="L274" s="20" t="s">
        <v>206</v>
      </c>
      <c r="M274" s="284" t="e">
        <f>ROUND(ROUND($M$107,4)*_RLZ7+ROUND($N$107,2),2)</f>
        <v>#REF!</v>
      </c>
      <c r="N274" s="21" t="e">
        <f>ROUND(ROUND($O$107,4)*_RLZ7+ROUND($P$107,2),2)</f>
        <v>#REF!</v>
      </c>
      <c r="O274" s="21" t="e">
        <f>ROUND(ROUND($Q$107,4)*_RLZ7+ROUND($R$107,2),2)</f>
        <v>#REF!</v>
      </c>
      <c r="P274" s="21" t="e">
        <f>ROUND(ROUND($S$107,4)*_RLZ7+ROUND($T$107,2),2)</f>
        <v>#REF!</v>
      </c>
      <c r="Q274" s="21" t="e">
        <f>ROUND(ROUND($U$107,4)*_RLZ7+ROUND($V$107,4),2)</f>
        <v>#REF!</v>
      </c>
      <c r="R274" s="21" t="s">
        <v>21</v>
      </c>
      <c r="S274" s="22" t="s">
        <v>21</v>
      </c>
      <c r="U274" s="64"/>
      <c r="V274" s="96" t="s">
        <v>127</v>
      </c>
      <c r="W274" s="257" t="e">
        <f>W273</f>
        <v>#REF!</v>
      </c>
      <c r="X274" s="64" t="s">
        <v>10</v>
      </c>
      <c r="Y274" s="257" t="e">
        <f>ROUND(VLOOKUP(X274,L269:S278,W274+1),2)</f>
        <v>#REF!</v>
      </c>
      <c r="AA274" s="29"/>
      <c r="AB274" s="220"/>
    </row>
    <row r="275" spans="11:28" ht="13.5" thickBot="1" x14ac:dyDescent="0.25">
      <c r="K275" s="574"/>
      <c r="L275" s="23" t="s">
        <v>207</v>
      </c>
      <c r="M275" s="284" t="e">
        <f>ROUND(ROUND($M$108,4)*_RLZ7+ROUND($N$108,2),2)</f>
        <v>#REF!</v>
      </c>
      <c r="N275" s="21" t="e">
        <f>ROUND(ROUND($O$108,4)*_RLZ7+ROUND($P$108,2),2)</f>
        <v>#REF!</v>
      </c>
      <c r="O275" s="21" t="e">
        <f>ROUND(ROUND($Q$108,4)*_RLZ7+ROUND($R$108,2),2)</f>
        <v>#REF!</v>
      </c>
      <c r="P275" s="21" t="e">
        <f>ROUND(ROUND($S$108,4)*_RLZ7+ROUND($T$108,2),2)</f>
        <v>#REF!</v>
      </c>
      <c r="Q275" s="21" t="s">
        <v>21</v>
      </c>
      <c r="R275" s="21" t="s">
        <v>21</v>
      </c>
      <c r="S275" s="22" t="s">
        <v>21</v>
      </c>
      <c r="U275" s="64"/>
      <c r="V275" s="64" t="s">
        <v>128</v>
      </c>
      <c r="W275" s="64"/>
      <c r="X275" s="64"/>
      <c r="Y275" s="257" t="e">
        <f>Y273-Y274</f>
        <v>#REF!</v>
      </c>
      <c r="AA275" s="29"/>
      <c r="AB275" s="220"/>
    </row>
    <row r="276" spans="11:28" x14ac:dyDescent="0.2">
      <c r="K276" s="574"/>
      <c r="L276" s="34" t="s">
        <v>15</v>
      </c>
      <c r="M276" s="284" t="e">
        <f>ROUND(ROUND($M$101,4)*_RLZ7+ROUND($N$101,2),2)</f>
        <v>#REF!</v>
      </c>
      <c r="N276" s="21" t="e">
        <f>ROUND(ROUND($O$101,4)*_RLZ7+ROUND($P$101,2),2)</f>
        <v>#REF!</v>
      </c>
      <c r="O276" s="21" t="e">
        <f>ROUND(ROUND($Q$101,4)*_RLZ7+ROUND($R$101,2),2)</f>
        <v>#REF!</v>
      </c>
      <c r="P276" s="21" t="e">
        <f>ROUND($S$101,4)*_RLZ7+ROUND($T$101,2)</f>
        <v>#REF!</v>
      </c>
      <c r="Q276" s="21" t="e">
        <f>ROUND($U$101,4)*_RLZ7+ROUND($V$101,2)</f>
        <v>#REF!</v>
      </c>
      <c r="R276" s="21" t="e">
        <f>ROUND($W$101,4)*_RLZ7+ROUND($X$101,2)</f>
        <v>#REF!</v>
      </c>
      <c r="S276" s="22" t="e">
        <f>ROUND($Y$101,4)*_RLZ7+ROUND($Z$101,2)</f>
        <v>#REF!</v>
      </c>
      <c r="U276" s="64"/>
      <c r="V276" s="96" t="s">
        <v>129</v>
      </c>
      <c r="W276" s="262" t="e">
        <f>U270</f>
        <v>#REF!</v>
      </c>
      <c r="X276" s="64"/>
      <c r="Y276" s="257" t="e">
        <f>ROUNDDOWN(Y275*W276,2)</f>
        <v>#REF!</v>
      </c>
      <c r="AA276" s="29"/>
      <c r="AB276" s="220"/>
    </row>
    <row r="277" spans="11:28" x14ac:dyDescent="0.2">
      <c r="K277" s="574"/>
      <c r="L277" s="20" t="s">
        <v>17</v>
      </c>
      <c r="M277" s="284" t="e">
        <f>ROUND(ROUND($M$102,4)*_RLZ7+ROUND($N$102,2),2)</f>
        <v>#REF!</v>
      </c>
      <c r="N277" s="21" t="e">
        <f>ROUND(ROUND($O$102,4)*_RLZ7+ROUND($P$102,2),2)</f>
        <v>#REF!</v>
      </c>
      <c r="O277" s="21" t="e">
        <f>ROUND(ROUND($Q$102,4)*_RLZ7+ROUND($R$102,2),2)</f>
        <v>#REF!</v>
      </c>
      <c r="P277" s="21" t="e">
        <f>ROUND(ROUND($S$102,4)*_RLZ7+ROUND($T$102,2),2)</f>
        <v>#REF!</v>
      </c>
      <c r="Q277" s="21" t="e">
        <f>ROUND(ROUND($U$102,4)*_RLZ7+ROUND($V$102,2),2)</f>
        <v>#REF!</v>
      </c>
      <c r="R277" s="21" t="e">
        <f>ROUND(ROUND($W$102,4)*_RLZ7+ROUND($X$102,2),2)</f>
        <v>#REF!</v>
      </c>
      <c r="S277" s="22" t="e">
        <f>ROUND(ROUND($Y$102,4)*_RLZ7+ROUND($Z$102,2),2)</f>
        <v>#REF!</v>
      </c>
      <c r="U277" s="64"/>
      <c r="V277" s="96" t="s">
        <v>130</v>
      </c>
      <c r="W277" s="257" t="e">
        <f>W273</f>
        <v>#REF!</v>
      </c>
      <c r="X277" s="64" t="e">
        <f>X273</f>
        <v>#REF!</v>
      </c>
      <c r="Y277" s="257" t="e">
        <f>IF(X273="n.v.","n.v.",Y273-Y276)</f>
        <v>#REF!</v>
      </c>
      <c r="AA277" s="29"/>
      <c r="AB277" s="220"/>
    </row>
    <row r="278" spans="11:28" ht="13.5" thickBot="1" x14ac:dyDescent="0.25">
      <c r="K278" s="575"/>
      <c r="L278" s="23" t="s">
        <v>7</v>
      </c>
      <c r="M278" s="288" t="e">
        <f>ROUND(ROUND($M$100,4)*_RLZ7+ROUND($N$100,2),2)</f>
        <v>#REF!</v>
      </c>
      <c r="N278" s="24" t="e">
        <f>ROUND(ROUND($O$100,4)*_RLZ7+ROUND($P$100,2),2)</f>
        <v>#REF!</v>
      </c>
      <c r="O278" s="24" t="e">
        <f>ROUND(ROUND($Q$100,4)*_RLZ7+ROUND($R$100,2),2)</f>
        <v>#REF!</v>
      </c>
      <c r="P278" s="24" t="e">
        <f>ROUND(ROUND($S$100,4)*_RLZ7+ROUND($T$100,2),2)</f>
        <v>#REF!</v>
      </c>
      <c r="Q278" s="24" t="e">
        <f>ROUND(ROUND($U$100,4)*_RLZ7+ROUND($V$100,2),2)</f>
        <v>#REF!</v>
      </c>
      <c r="R278" s="24" t="e">
        <f>ROUND(ROUND($W$100,4)*_RLZ7+ROUND($X$100,2),2)</f>
        <v>#REF!</v>
      </c>
      <c r="S278" s="25" t="e">
        <f>ROUND(ROUND($Y$100,4)*_RLZ7+ROUND($Z$100,2),2)</f>
        <v>#REF!</v>
      </c>
      <c r="U278" s="64"/>
      <c r="V278" s="64"/>
      <c r="W278" s="64"/>
      <c r="X278" s="64"/>
      <c r="Y278" s="64"/>
      <c r="AA278" s="29"/>
      <c r="AB278" s="220"/>
    </row>
    <row r="279" spans="11:28" ht="13.5" thickBot="1" x14ac:dyDescent="0.25">
      <c r="K279" s="41" t="s">
        <v>35</v>
      </c>
      <c r="L279" s="43"/>
      <c r="M279" s="290"/>
      <c r="N279" s="290"/>
      <c r="O279" s="290"/>
      <c r="P279" s="290"/>
      <c r="Q279" s="290"/>
      <c r="R279" s="290"/>
      <c r="S279" s="291"/>
      <c r="U279" s="64"/>
      <c r="V279" s="64"/>
      <c r="W279" s="64"/>
      <c r="X279" s="64"/>
      <c r="Y279" s="64"/>
      <c r="AA279" s="29"/>
      <c r="AB279" s="220"/>
    </row>
    <row r="280" spans="11:28" ht="13.5" thickBot="1" x14ac:dyDescent="0.25">
      <c r="K280" s="30" t="s">
        <v>25</v>
      </c>
      <c r="L280" s="19" t="s">
        <v>13</v>
      </c>
      <c r="M280" s="15">
        <v>1</v>
      </c>
      <c r="N280" s="15">
        <v>2</v>
      </c>
      <c r="O280" s="15">
        <v>3</v>
      </c>
      <c r="P280" s="15">
        <v>4</v>
      </c>
      <c r="Q280" s="15">
        <v>5</v>
      </c>
      <c r="R280" s="15">
        <v>6</v>
      </c>
      <c r="S280" s="16">
        <v>7</v>
      </c>
      <c r="U280" s="64"/>
      <c r="V280" s="64"/>
      <c r="W280" s="64"/>
      <c r="X280" s="64"/>
      <c r="Y280" s="64"/>
      <c r="AA280" s="29"/>
      <c r="AB280" s="220"/>
    </row>
    <row r="281" spans="11:28" x14ac:dyDescent="0.2">
      <c r="K281" s="573" t="str">
        <f>K257</f>
        <v>OECD-Prämiensystem
&lt; 2 Jahre mit CE</v>
      </c>
      <c r="L281" s="17" t="s">
        <v>202</v>
      </c>
      <c r="M281" s="301" t="e">
        <f>ROUND(ROUND($M$101,4)*_RLZ7+ROUND($N$101,4),2)</f>
        <v>#REF!</v>
      </c>
      <c r="N281" s="18" t="e">
        <f>ROUND(ROUND($O$101,4)*_RLZ7+ROUND($P$101,2),2)</f>
        <v>#REF!</v>
      </c>
      <c r="O281" s="18" t="e">
        <f>ROUND(ROUND($Q$101,4)*_RLZ7+ROUND($R$101,2),2)</f>
        <v>#REF!</v>
      </c>
      <c r="P281" s="18" t="e">
        <f>ROUND(ROUND($S$101,4)*_RLZ7+ROUND($T$101,4),2)</f>
        <v>#REF!</v>
      </c>
      <c r="Q281" s="18" t="e">
        <f>ROUND(ROUND($U$101,4)*_RLZ7+ROUND($V$101,2),2)</f>
        <v>#REF!</v>
      </c>
      <c r="R281" s="18" t="e">
        <f>ROUND(ROUND($W$101,4)*_RLZ7+ROUND($X$101,2),2)</f>
        <v>#REF!</v>
      </c>
      <c r="S281" s="31" t="e">
        <f>ROUND(ROUND($Y$101,4)*_RLZ7+ROUND($Z$101,2),2)</f>
        <v>#REF!</v>
      </c>
      <c r="U281" s="64"/>
      <c r="V281" s="306" t="s">
        <v>138</v>
      </c>
      <c r="W281" s="257" t="e">
        <f>W273</f>
        <v>#REF!</v>
      </c>
      <c r="X281" s="64" t="e">
        <f>X273</f>
        <v>#REF!</v>
      </c>
      <c r="Y281" s="257" t="e">
        <f>IF(X273="n.v.","n.v.",ROUND(VLOOKUP(X270,L280:S289,X269+1),4))</f>
        <v>#REF!</v>
      </c>
      <c r="AA281" s="29"/>
      <c r="AB281" s="220"/>
    </row>
    <row r="282" spans="11:28" x14ac:dyDescent="0.2">
      <c r="K282" s="574"/>
      <c r="L282" s="20" t="s">
        <v>203</v>
      </c>
      <c r="M282" s="284" t="e">
        <f>ROUND(ROUND(ROUND($M$104,4)*_RLZ7+ROUND($N$104,2),2)*(1-CE_7)+$M$137*CE_7,2)</f>
        <v>#REF!</v>
      </c>
      <c r="N282" s="21" t="e">
        <f>ROUND(ROUND(ROUND($O$104,4)*_RLZ7+ROUND($P$104,2),2)*(1-CE_7)+N$137*CE_7,2)</f>
        <v>#REF!</v>
      </c>
      <c r="O282" s="21" t="e">
        <f>ROUND(ROUND(ROUND($Q$104,4)*_RLZ7+ROUND($R$104,2),2)*(1-CE_7)+$O281*CE_7,2)</f>
        <v>#REF!</v>
      </c>
      <c r="P282" s="21" t="e">
        <f>ROUND(ROUND(ROUND($S$104,4)*_RLZ7+ROUND($T$104,2),2)*(1-CE_7)+$P281*CE_7,2)</f>
        <v>#REF!</v>
      </c>
      <c r="Q282" s="21" t="e">
        <f>ROUND(ROUND(ROUND($U$104,4)*_RLZ7+ROUND($V$104,2),2)*(1-CE_7)+$Q281*CE_7,2)</f>
        <v>#REF!</v>
      </c>
      <c r="R282" s="21" t="e">
        <f>ROUND(ROUND(ROUND($W$104,4)*_RLZ7+ROUND($X$104,2),2)*(1-CE_7)+$R281*CE_7,2)</f>
        <v>#REF!</v>
      </c>
      <c r="S282" s="22" t="e">
        <f>ROUND(ROUND(ROUND($Y$104,4)*_RLZ7+ROUND($Z$104,2),2)*(1-CE_7)+$S281*CE_7,2)</f>
        <v>#REF!</v>
      </c>
      <c r="U282" s="64"/>
      <c r="V282" s="64"/>
      <c r="W282" s="64"/>
      <c r="X282" s="64"/>
      <c r="Y282" s="64"/>
      <c r="AA282" s="29"/>
      <c r="AB282" s="220"/>
    </row>
    <row r="283" spans="11:28" x14ac:dyDescent="0.2">
      <c r="K283" s="574"/>
      <c r="L283" s="20" t="s">
        <v>204</v>
      </c>
      <c r="M283" s="284" t="e">
        <f>ROUND(ROUND(ROUND($M$105,4)*_RLZ7+ROUND($N$105,2),2)*(1-CE_7)+$M$137*CE_7,2)</f>
        <v>#REF!</v>
      </c>
      <c r="N283" s="21" t="e">
        <f>ROUND(ROUND(ROUND($O$105,4)*_RLZ7+ROUND($P$105,2),2)*(1-CE_7)+$N281*CE_7,2)</f>
        <v>#REF!</v>
      </c>
      <c r="O283" s="21" t="e">
        <f>ROUND(ROUND(ROUND($Q$105,4)*_RLZ7+ROUND($R$105,2),2)*(1-CE_7)+$O281*CE_7,2)</f>
        <v>#REF!</v>
      </c>
      <c r="P283" s="21" t="e">
        <f>ROUND(ROUND(ROUND($S$105,4)*_RLZ7+ROUND($T$105,2),2)*(1-CE_7)+$P281*CE_7,2)</f>
        <v>#REF!</v>
      </c>
      <c r="Q283" s="21" t="e">
        <f>ROUND(ROUND(ROUND($U$105,4)*_RLZ7+ROUND($V$105,4),2)*(1-CE_7)+$Q281*CE_7,2)</f>
        <v>#REF!</v>
      </c>
      <c r="R283" s="21" t="e">
        <f>ROUND(ROUND(ROUND($W$105,4)*_RLZ7+ROUND($X$105,2),2)*(1-CE_7)+$R281*CE_7,2)</f>
        <v>#REF!</v>
      </c>
      <c r="S283" s="22" t="e">
        <f>ROUND(ROUND(ROUND($Y$105,4)*_RLZ7+ROUND($Z$105,2),2)*(1-CE_7)+$S281*CE_7,2)</f>
        <v>#REF!</v>
      </c>
      <c r="U283" s="64"/>
      <c r="V283" s="64"/>
      <c r="W283" s="64"/>
      <c r="X283" s="64"/>
      <c r="Y283" s="64"/>
      <c r="AA283" s="29"/>
      <c r="AB283" s="220"/>
    </row>
    <row r="284" spans="11:28" x14ac:dyDescent="0.2">
      <c r="K284" s="574"/>
      <c r="L284" s="20" t="s">
        <v>205</v>
      </c>
      <c r="M284" s="284" t="e">
        <f>ROUND(ROUND(ROUND($M$106,4)*_RLZ7+ROUND($N$106,2),2)*(1-CE_7)+$M$137*CE_7,2)</f>
        <v>#REF!</v>
      </c>
      <c r="N284" s="21" t="e">
        <f>ROUND(ROUND(ROUND($O$106,4)*_RLZ7+ROUND($P$106,2),2)*(1-CE_7)+$N281*CE_7,2)</f>
        <v>#REF!</v>
      </c>
      <c r="O284" s="21" t="e">
        <f>ROUND(ROUND(ROUND($Q$106,4)*_RLZ7+ROUND($R$106,2),2)*(1-CE_7)+$O281*CE_7,2)</f>
        <v>#REF!</v>
      </c>
      <c r="P284" s="21" t="e">
        <f>ROUND(ROUND(ROUND($S$106,4)*_RLZ7+ROUND($T$106,2),2)*(1-CE_7)+$P281*CE_7,2)</f>
        <v>#REF!</v>
      </c>
      <c r="Q284" s="21" t="e">
        <f>ROUND(ROUND(ROUND($U$106,4)*_RLZ7+ROUND($V$106,2),2)*(1-CE_7)+$Q281*CE_7,2)</f>
        <v>#REF!</v>
      </c>
      <c r="R284" s="21" t="e">
        <f>ROUND(ROUND(ROUND($W$106,4)*_RLZ7+ROUND($X$106,2),2)*(1-CE_7)+$R281*CE_7,2)</f>
        <v>#REF!</v>
      </c>
      <c r="S284" s="22" t="s">
        <v>21</v>
      </c>
      <c r="U284" s="64"/>
      <c r="V284" s="64"/>
      <c r="W284" s="64"/>
      <c r="X284" s="64"/>
      <c r="Y284" s="64"/>
      <c r="AA284" s="29"/>
      <c r="AB284" s="220"/>
    </row>
    <row r="285" spans="11:28" x14ac:dyDescent="0.2">
      <c r="K285" s="574"/>
      <c r="L285" s="20" t="s">
        <v>206</v>
      </c>
      <c r="M285" s="284" t="e">
        <f>ROUND(ROUND(ROUND($M$107,4)*_RLZ7+ROUND($N$107,2),2)*(1-CE_7)+$M$137*CE_7,2)</f>
        <v>#REF!</v>
      </c>
      <c r="N285" s="21" t="e">
        <f>ROUND(ROUND(ROUND($O$107,4)*_RLZ7+ROUND($P$107,2),2)*(1-CE_7)+$N281*CE_7,2)</f>
        <v>#REF!</v>
      </c>
      <c r="O285" s="21" t="e">
        <f>ROUND(ROUND(ROUND($Q$107,4)*_RLZ7+ROUND($R$107,2),2)*(1-CE_7)+$O281*CE_7,2)</f>
        <v>#REF!</v>
      </c>
      <c r="P285" s="21" t="e">
        <f>ROUND(ROUND(ROUND($S$107,4)*_RLZ7+ROUND($T$107,2),2)*(1-CE_7)+$P281*CE_7,2)</f>
        <v>#REF!</v>
      </c>
      <c r="Q285" s="21" t="e">
        <f>ROUND(ROUND(ROUND($U$107,4)*_RLZ7+ROUND($V$107,4),2)*(1-CE_7)+$Q281*CE_7,2)</f>
        <v>#REF!</v>
      </c>
      <c r="R285" s="21" t="s">
        <v>21</v>
      </c>
      <c r="S285" s="22" t="s">
        <v>21</v>
      </c>
      <c r="U285" s="64"/>
      <c r="V285" s="64"/>
      <c r="W285" s="64"/>
      <c r="X285" s="64"/>
      <c r="Y285" s="64"/>
      <c r="AA285" s="29"/>
      <c r="AB285" s="220"/>
    </row>
    <row r="286" spans="11:28" ht="13.5" thickBot="1" x14ac:dyDescent="0.25">
      <c r="K286" s="574"/>
      <c r="L286" s="23" t="s">
        <v>207</v>
      </c>
      <c r="M286" s="284" t="e">
        <f>ROUND(ROUND(ROUND($M$108,4)*_RLZ7+ROUND($N$108,2),2)*(1-CE_7)+$M$281*CE_7,2)</f>
        <v>#REF!</v>
      </c>
      <c r="N286" s="21" t="e">
        <f>ROUND(ROUND(ROUND($O$108,4)*_RLZ7+ROUND($P$108,2),2)*(1-CE_7)+$N281*CE_7,2)</f>
        <v>#REF!</v>
      </c>
      <c r="O286" s="21" t="e">
        <f>ROUND(ROUND(ROUND($Q$108,4)*_RLZ7+ROUND($R$108,2),2)*(1-CE_7)+$O281*CE_7,2)</f>
        <v>#REF!</v>
      </c>
      <c r="P286" s="21" t="e">
        <f>ROUND(ROUND(ROUND($S$108,4)*_RLZ7+ROUND($T$108,2),2)*(1-CE_7)+$P281*CE_7,2)</f>
        <v>#REF!</v>
      </c>
      <c r="Q286" s="21" t="s">
        <v>21</v>
      </c>
      <c r="R286" s="21" t="s">
        <v>21</v>
      </c>
      <c r="S286" s="22" t="s">
        <v>21</v>
      </c>
      <c r="U286" s="64"/>
      <c r="V286" s="64"/>
      <c r="W286" s="64"/>
      <c r="X286" s="64"/>
      <c r="Y286" s="64"/>
      <c r="AA286" s="29"/>
      <c r="AB286" s="220"/>
    </row>
    <row r="287" spans="11:28" x14ac:dyDescent="0.2">
      <c r="K287" s="574"/>
      <c r="L287" s="34" t="s">
        <v>15</v>
      </c>
      <c r="M287" s="284" t="e">
        <f t="shared" ref="M287:S289" si="39">M276</f>
        <v>#REF!</v>
      </c>
      <c r="N287" s="21" t="e">
        <f t="shared" si="39"/>
        <v>#REF!</v>
      </c>
      <c r="O287" s="21" t="e">
        <f t="shared" si="39"/>
        <v>#REF!</v>
      </c>
      <c r="P287" s="21" t="e">
        <f t="shared" si="39"/>
        <v>#REF!</v>
      </c>
      <c r="Q287" s="21" t="e">
        <f t="shared" si="39"/>
        <v>#REF!</v>
      </c>
      <c r="R287" s="21" t="e">
        <f t="shared" si="39"/>
        <v>#REF!</v>
      </c>
      <c r="S287" s="22" t="e">
        <f>S276</f>
        <v>#REF!</v>
      </c>
      <c r="U287" s="64"/>
      <c r="V287" s="64"/>
      <c r="W287" s="64"/>
      <c r="X287" s="64"/>
      <c r="Y287" s="64"/>
      <c r="AA287" s="29"/>
      <c r="AB287" s="220"/>
    </row>
    <row r="288" spans="11:28" x14ac:dyDescent="0.2">
      <c r="K288" s="574"/>
      <c r="L288" s="20" t="s">
        <v>17</v>
      </c>
      <c r="M288" s="284" t="e">
        <f t="shared" si="39"/>
        <v>#REF!</v>
      </c>
      <c r="N288" s="21" t="e">
        <f t="shared" si="39"/>
        <v>#REF!</v>
      </c>
      <c r="O288" s="21" t="e">
        <f t="shared" si="39"/>
        <v>#REF!</v>
      </c>
      <c r="P288" s="21" t="e">
        <f t="shared" si="39"/>
        <v>#REF!</v>
      </c>
      <c r="Q288" s="21" t="e">
        <f t="shared" si="39"/>
        <v>#REF!</v>
      </c>
      <c r="R288" s="21" t="e">
        <f t="shared" si="39"/>
        <v>#REF!</v>
      </c>
      <c r="S288" s="22" t="e">
        <f t="shared" si="39"/>
        <v>#REF!</v>
      </c>
      <c r="U288" s="64"/>
      <c r="V288" s="64"/>
      <c r="W288" s="64"/>
      <c r="X288" s="64"/>
      <c r="Y288" s="64"/>
      <c r="AA288" s="29"/>
      <c r="AB288" s="220"/>
    </row>
    <row r="289" spans="1:28" ht="13.5" thickBot="1" x14ac:dyDescent="0.25">
      <c r="K289" s="575"/>
      <c r="L289" s="23" t="s">
        <v>7</v>
      </c>
      <c r="M289" s="288" t="e">
        <f t="shared" si="39"/>
        <v>#REF!</v>
      </c>
      <c r="N289" s="24" t="e">
        <f t="shared" si="39"/>
        <v>#REF!</v>
      </c>
      <c r="O289" s="24" t="e">
        <f t="shared" si="39"/>
        <v>#REF!</v>
      </c>
      <c r="P289" s="24" t="e">
        <f t="shared" si="39"/>
        <v>#REF!</v>
      </c>
      <c r="Q289" s="24" t="e">
        <f t="shared" si="39"/>
        <v>#REF!</v>
      </c>
      <c r="R289" s="24" t="e">
        <f t="shared" si="39"/>
        <v>#REF!</v>
      </c>
      <c r="S289" s="25" t="e">
        <f t="shared" si="39"/>
        <v>#REF!</v>
      </c>
      <c r="U289" s="64"/>
      <c r="V289" s="64"/>
      <c r="W289" s="64"/>
      <c r="X289" s="64"/>
      <c r="Y289" s="64"/>
      <c r="Z289" s="340"/>
      <c r="AA289" s="29"/>
      <c r="AB289" s="221"/>
    </row>
    <row r="290" spans="1:28" ht="13.5" thickBot="1" x14ac:dyDescent="0.25">
      <c r="K290" s="41" t="s">
        <v>180</v>
      </c>
      <c r="L290" s="43"/>
      <c r="M290" s="290"/>
      <c r="N290" s="290"/>
      <c r="O290" s="290"/>
      <c r="P290" s="290"/>
      <c r="Q290" s="290"/>
      <c r="R290" s="290"/>
      <c r="S290" s="291"/>
      <c r="U290" s="64"/>
      <c r="V290" s="64"/>
      <c r="W290" s="64"/>
      <c r="X290" s="64"/>
      <c r="Y290" s="282" t="s">
        <v>27</v>
      </c>
      <c r="AA290" s="29"/>
      <c r="AB290" s="220"/>
    </row>
    <row r="291" spans="1:28" ht="13.5" thickBot="1" x14ac:dyDescent="0.25">
      <c r="K291" s="30" t="s">
        <v>25</v>
      </c>
      <c r="L291" s="19" t="s">
        <v>13</v>
      </c>
      <c r="M291" s="15">
        <v>1</v>
      </c>
      <c r="N291" s="15">
        <v>2</v>
      </c>
      <c r="O291" s="15">
        <v>3</v>
      </c>
      <c r="P291" s="15">
        <v>4</v>
      </c>
      <c r="Q291" s="15">
        <v>5</v>
      </c>
      <c r="R291" s="15">
        <v>6</v>
      </c>
      <c r="S291" s="16">
        <v>7</v>
      </c>
      <c r="U291" s="43" t="str">
        <f>K290</f>
        <v>Akkreditivbestätigungsrisiken</v>
      </c>
      <c r="V291" s="43" t="s">
        <v>14</v>
      </c>
      <c r="W291" s="43"/>
      <c r="X291" s="261" t="e">
        <f>#REF!</f>
        <v>#REF!</v>
      </c>
      <c r="Y291" s="42" t="e">
        <f>#REF!</f>
        <v>#REF!</v>
      </c>
      <c r="Z291" s="285" t="s">
        <v>28</v>
      </c>
      <c r="AA291" s="29"/>
      <c r="AB291" s="220"/>
    </row>
    <row r="292" spans="1:28" ht="13.15" customHeight="1" thickBot="1" x14ac:dyDescent="0.25">
      <c r="K292" s="573" t="str">
        <f>$K$114</f>
        <v>OECD-Prämiensystem
&lt; 2 Jahre ohne CE</v>
      </c>
      <c r="L292" s="17" t="s">
        <v>202</v>
      </c>
      <c r="M292" s="301" t="e">
        <f>ROUND(ROUND($M$101,4)*RLZ_ABR+ROUND($N$101,4),2)</f>
        <v>#REF!</v>
      </c>
      <c r="N292" s="18" t="e">
        <f>ROUND(ROUND($O$101,4)*RLZ_ABR+ROUND($P$101,2),2)</f>
        <v>#REF!</v>
      </c>
      <c r="O292" s="18" t="e">
        <f>ROUND(ROUND($Q$101,4)*RLZ_ABR+ROUND($R$101,2),2)</f>
        <v>#REF!</v>
      </c>
      <c r="P292" s="18" t="e">
        <f>ROUND(ROUND($S$101,4)*RLZ_ABR+ROUND($T$101,4),2)</f>
        <v>#REF!</v>
      </c>
      <c r="Q292" s="18" t="e">
        <f>ROUND(ROUND($U$101,4)*RLZ_ABR+ROUND($V$101,2),2)</f>
        <v>#REF!</v>
      </c>
      <c r="R292" s="18" t="e">
        <f>ROUND(ROUND($W$101,4)*RLZ_ABR+ROUND($X$101,2),2)</f>
        <v>#REF!</v>
      </c>
      <c r="S292" s="31" t="e">
        <f>ROUND(ROUND($Y$101,4)*RLZ_ABR+ROUND($Z$101,2),2)</f>
        <v>#REF!</v>
      </c>
      <c r="U292" s="286" t="e">
        <f>CE_7</f>
        <v>#REF!</v>
      </c>
      <c r="V292" s="32" t="s">
        <v>16</v>
      </c>
      <c r="W292" s="32"/>
      <c r="X292" s="269" t="e">
        <f>#REF!</f>
        <v>#REF!</v>
      </c>
      <c r="Y292" s="32" t="s">
        <v>29</v>
      </c>
      <c r="Z292" s="287" t="e">
        <f>IF(X292="n.v.","n.v.",Y299)</f>
        <v>#REF!</v>
      </c>
      <c r="AA292" s="29"/>
      <c r="AB292" s="220"/>
    </row>
    <row r="293" spans="1:28" x14ac:dyDescent="0.2">
      <c r="K293" s="574"/>
      <c r="L293" s="20" t="s">
        <v>203</v>
      </c>
      <c r="M293" s="284" t="e">
        <f>ROUND(ROUND($M$104,4)*RLZ_ABR+ROUND($N$104,2),2)</f>
        <v>#REF!</v>
      </c>
      <c r="N293" s="21" t="e">
        <f>ROUND(ROUND($O$104,4)*RLZ_ABR+ROUND($P$104,2),2)</f>
        <v>#REF!</v>
      </c>
      <c r="O293" s="21" t="e">
        <f>ROUND(ROUND($Q$104,4)*RLZ_ABR+ROUND($R$104,2),2)</f>
        <v>#REF!</v>
      </c>
      <c r="P293" s="21" t="e">
        <f>ROUND(ROUND($S$104,4)*RLZ_ABR+ROUND($T$104,2),2)</f>
        <v>#REF!</v>
      </c>
      <c r="Q293" s="21" t="e">
        <f>ROUND(ROUND($U$104,4)*RLZ_ABR+ROUND($V$104,2),2)</f>
        <v>#REF!</v>
      </c>
      <c r="R293" s="21" t="e">
        <f>ROUND(ROUND($W$104,4)*RLZ_ABR+ROUND($X$104,2),2)</f>
        <v>#REF!</v>
      </c>
      <c r="S293" s="22" t="e">
        <f>ROUND(ROUND($Y$104,4)*RLZ_ABR+ROUND($Z$104,2),2)</f>
        <v>#REF!</v>
      </c>
      <c r="AA293" s="29"/>
      <c r="AB293" s="220"/>
    </row>
    <row r="294" spans="1:28" x14ac:dyDescent="0.2">
      <c r="K294" s="574"/>
      <c r="L294" s="20" t="s">
        <v>204</v>
      </c>
      <c r="M294" s="284" t="e">
        <f>ROUND(ROUND($M$105,4)*RLZ_ABR+ROUND($N$105,2),2)</f>
        <v>#REF!</v>
      </c>
      <c r="N294" s="21" t="e">
        <f>ROUND(ROUND($O$105,4)*RLZ_ABR+ROUND($P$105,2),2)</f>
        <v>#REF!</v>
      </c>
      <c r="O294" s="21" t="e">
        <f>ROUND(ROUND($Q$105,4)*RLZ_ABR+ROUND($R$105,2),2)</f>
        <v>#REF!</v>
      </c>
      <c r="P294" s="21" t="e">
        <f>ROUND(ROUND($S$105,4)*RLZ_ABR+ROUND($T$105,2),2)</f>
        <v>#REF!</v>
      </c>
      <c r="Q294" s="21" t="e">
        <f>ROUND(ROUND($U$105,4)*RLZ_ABR+ROUND($V$105,4),2)</f>
        <v>#REF!</v>
      </c>
      <c r="R294" s="21" t="e">
        <f>ROUND(ROUND($W$105,4)*RLZ_ABR+ROUND($X$105,2),2)</f>
        <v>#REF!</v>
      </c>
      <c r="S294" s="22" t="e">
        <f>ROUND(ROUND($Y$105,4)*RLZ_ABR+ROUND($Z$105,2),2)</f>
        <v>#REF!</v>
      </c>
      <c r="U294" s="64"/>
      <c r="V294" s="96" t="s">
        <v>126</v>
      </c>
      <c r="W294" s="64"/>
      <c r="X294" s="64"/>
      <c r="Y294" s="64"/>
      <c r="AA294" s="29"/>
      <c r="AB294" s="220"/>
    </row>
    <row r="295" spans="1:28" x14ac:dyDescent="0.2">
      <c r="K295" s="574"/>
      <c r="L295" s="20" t="s">
        <v>205</v>
      </c>
      <c r="M295" s="284" t="e">
        <f>ROUND(ROUND($M$106,4)*RLZ_ABR+ROUND($N$106,2),2)</f>
        <v>#REF!</v>
      </c>
      <c r="N295" s="21" t="e">
        <f>ROUND(ROUND($O$106,4)*RLZ_ABR+ROUND($P$106,2),2)</f>
        <v>#REF!</v>
      </c>
      <c r="O295" s="21" t="e">
        <f>ROUND(ROUND($Q$106,4)*RLZ_ABR+ROUND($R$106,2),2)</f>
        <v>#REF!</v>
      </c>
      <c r="P295" s="21" t="e">
        <f>ROUND(ROUND($S$106,4)*RLZ_ABR+ROUND($T$106,2),2)</f>
        <v>#REF!</v>
      </c>
      <c r="Q295" s="21" t="e">
        <f>ROUND(ROUND($U$106,4)*RLZ_ABR+ROUND($V$106,2),2)</f>
        <v>#REF!</v>
      </c>
      <c r="R295" s="21" t="e">
        <f>ROUND(ROUND($W$106,4)*RLZ_ABR+ROUND($X$106,2),2)</f>
        <v>#REF!</v>
      </c>
      <c r="S295" s="22" t="s">
        <v>21</v>
      </c>
      <c r="U295" s="64"/>
      <c r="V295" s="96" t="s">
        <v>127</v>
      </c>
      <c r="W295" s="257" t="e">
        <f>X291</f>
        <v>#REF!</v>
      </c>
      <c r="X295" s="64" t="e">
        <f>X292</f>
        <v>#REF!</v>
      </c>
      <c r="Y295" s="257" t="e">
        <f>IF(X295="n.v.","n.v.",ROUND(VLOOKUP(X295,L291:S300,W295+1),2))</f>
        <v>#REF!</v>
      </c>
      <c r="AA295" s="29"/>
      <c r="AB295" s="220"/>
    </row>
    <row r="296" spans="1:28" x14ac:dyDescent="0.2">
      <c r="K296" s="574"/>
      <c r="L296" s="20" t="s">
        <v>206</v>
      </c>
      <c r="M296" s="284" t="e">
        <f>ROUND(ROUND($M$107,4)*RLZ_ABR+ROUND($N$107,2),2)</f>
        <v>#REF!</v>
      </c>
      <c r="N296" s="21" t="e">
        <f>ROUND(ROUND($O$107,4)*RLZ_ABR+ROUND($P$107,2),2)</f>
        <v>#REF!</v>
      </c>
      <c r="O296" s="21" t="e">
        <f>ROUND(ROUND($Q$107,4)*RLZ_ABR+ROUND($R$107,2),2)</f>
        <v>#REF!</v>
      </c>
      <c r="P296" s="21" t="e">
        <f>ROUND(ROUND($S$107,4)*RLZ_ABR+ROUND($T$107,2),2)</f>
        <v>#REF!</v>
      </c>
      <c r="Q296" s="21" t="e">
        <f>ROUND(ROUND($U$107,4)*RLZ_ABR+ROUND($V$107,4),2)</f>
        <v>#REF!</v>
      </c>
      <c r="R296" s="21" t="s">
        <v>21</v>
      </c>
      <c r="S296" s="22" t="s">
        <v>21</v>
      </c>
      <c r="U296" s="64"/>
      <c r="V296" s="96" t="s">
        <v>127</v>
      </c>
      <c r="W296" s="257" t="e">
        <f>W295</f>
        <v>#REF!</v>
      </c>
      <c r="X296" s="64" t="s">
        <v>10</v>
      </c>
      <c r="Y296" s="257" t="e">
        <f>ROUND(VLOOKUP(X296,L291:S300,W296+1),2)</f>
        <v>#REF!</v>
      </c>
      <c r="AA296" s="29"/>
      <c r="AB296" s="220"/>
    </row>
    <row r="297" spans="1:28" ht="13.5" thickBot="1" x14ac:dyDescent="0.25">
      <c r="K297" s="574"/>
      <c r="L297" s="23" t="s">
        <v>207</v>
      </c>
      <c r="M297" s="284" t="e">
        <f>ROUND(ROUND($M$108,4)*RLZ_ABR+ROUND($N$108,2),2)</f>
        <v>#REF!</v>
      </c>
      <c r="N297" s="21" t="e">
        <f>ROUND(ROUND($O$108,4)*RLZ_ABR+ROUND($P$108,2),2)</f>
        <v>#REF!</v>
      </c>
      <c r="O297" s="21" t="e">
        <f>ROUND(ROUND($Q$108,4)*RLZ_ABR+ROUND($R$108,2),2)</f>
        <v>#REF!</v>
      </c>
      <c r="P297" s="21" t="e">
        <f>ROUND(ROUND($S$108,4)*RLZ_ABR+ROUND($T$108,2),2)</f>
        <v>#REF!</v>
      </c>
      <c r="Q297" s="21" t="s">
        <v>21</v>
      </c>
      <c r="R297" s="21" t="s">
        <v>21</v>
      </c>
      <c r="S297" s="22" t="s">
        <v>21</v>
      </c>
      <c r="U297" s="64"/>
      <c r="V297" s="64" t="s">
        <v>128</v>
      </c>
      <c r="W297" s="64"/>
      <c r="X297" s="64"/>
      <c r="Y297" s="257" t="e">
        <f>Y295-Y296</f>
        <v>#REF!</v>
      </c>
      <c r="AA297" s="29"/>
      <c r="AB297" s="220"/>
    </row>
    <row r="298" spans="1:28" x14ac:dyDescent="0.2">
      <c r="K298" s="574"/>
      <c r="L298" s="34" t="s">
        <v>15</v>
      </c>
      <c r="M298" s="284" t="e">
        <f>ROUND(ROUND($M$101,4)*RLZ_ABR+ROUND($N$101,2),2)</f>
        <v>#REF!</v>
      </c>
      <c r="N298" s="21" t="e">
        <f>ROUND(ROUND($O$101,4)*RLZ_ABR+ROUND($P$101,2),2)</f>
        <v>#REF!</v>
      </c>
      <c r="O298" s="21" t="e">
        <f>ROUND(ROUND($Q$101,4)*RLZ_ABR+ROUND($R$101,2),2)</f>
        <v>#REF!</v>
      </c>
      <c r="P298" s="21" t="e">
        <f>ROUND($S$101,4)*RLZ_ABR+ROUND($T$101,2)</f>
        <v>#REF!</v>
      </c>
      <c r="Q298" s="21" t="e">
        <f>ROUND($U$101,4)*RLZ_ABR+ROUND($V$101,2)</f>
        <v>#REF!</v>
      </c>
      <c r="R298" s="21" t="e">
        <f>ROUND($W$101,4)*RLZ_ABR+ROUND($X$101,2)</f>
        <v>#REF!</v>
      </c>
      <c r="S298" s="22" t="e">
        <f>ROUND($Y$101,4)*RLZ_ABR+ROUND($Z$101,2)</f>
        <v>#REF!</v>
      </c>
      <c r="U298" s="64"/>
      <c r="V298" s="96" t="s">
        <v>129</v>
      </c>
      <c r="W298" s="262" t="e">
        <f>U292</f>
        <v>#REF!</v>
      </c>
      <c r="X298" s="64"/>
      <c r="Y298" s="257" t="e">
        <f>ROUNDDOWN(Y297*W298,2)</f>
        <v>#REF!</v>
      </c>
      <c r="AA298" s="29"/>
      <c r="AB298" s="220"/>
    </row>
    <row r="299" spans="1:28" x14ac:dyDescent="0.2">
      <c r="K299" s="574"/>
      <c r="L299" s="20" t="s">
        <v>17</v>
      </c>
      <c r="M299" s="284" t="e">
        <f>ROUND(ROUND($M$102,4)*RLZ_ABR+ROUND($N$102,2),2)</f>
        <v>#REF!</v>
      </c>
      <c r="N299" s="21" t="e">
        <f>ROUND(ROUND($O$102,4)*RLZ_ABR+ROUND($P$102,2),2)</f>
        <v>#REF!</v>
      </c>
      <c r="O299" s="21" t="e">
        <f>ROUND(ROUND($Q$102,4)*RLZ_ABR+ROUND($R$102,2),2)</f>
        <v>#REF!</v>
      </c>
      <c r="P299" s="21" t="e">
        <f>ROUND(ROUND($S$102,4)*RLZ_ABR+ROUND($T$102,2),2)</f>
        <v>#REF!</v>
      </c>
      <c r="Q299" s="21" t="e">
        <f>ROUND(ROUND($U$102,4)*RLZ_ABR+ROUND($V$102,2),2)</f>
        <v>#REF!</v>
      </c>
      <c r="R299" s="21" t="e">
        <f>ROUND(ROUND($W$102,4)*RLZ_ABR+ROUND($X$102,2),2)</f>
        <v>#REF!</v>
      </c>
      <c r="S299" s="22" t="e">
        <f>ROUND(ROUND($Y$102,4)*RLZ_ABR+ROUND($Z$102,2),2)</f>
        <v>#REF!</v>
      </c>
      <c r="U299" s="64"/>
      <c r="V299" s="96" t="s">
        <v>130</v>
      </c>
      <c r="W299" s="257" t="e">
        <f>W295</f>
        <v>#REF!</v>
      </c>
      <c r="X299" s="64" t="e">
        <f>X295</f>
        <v>#REF!</v>
      </c>
      <c r="Y299" s="257" t="e">
        <f>IF(X295="n.v.","n.v.",Y295-Y298)</f>
        <v>#REF!</v>
      </c>
      <c r="AA299" s="29"/>
      <c r="AB299" s="220"/>
    </row>
    <row r="300" spans="1:28" ht="13.5" thickBot="1" x14ac:dyDescent="0.25">
      <c r="K300" s="575"/>
      <c r="L300" s="23" t="s">
        <v>7</v>
      </c>
      <c r="M300" s="288" t="e">
        <f>ROUND(ROUND($M$100,4)*RLZ_ABR+ROUND($N$100,2),2)</f>
        <v>#REF!</v>
      </c>
      <c r="N300" s="24" t="e">
        <f>ROUND(ROUND($O$100,4)*RLZ_ABR+ROUND($P$100,2),2)</f>
        <v>#REF!</v>
      </c>
      <c r="O300" s="24" t="e">
        <f>ROUND(ROUND($Q$100,4)*RLZ_ABR+ROUND($R$100,2),2)</f>
        <v>#REF!</v>
      </c>
      <c r="P300" s="24" t="e">
        <f>ROUND(ROUND($S$100,4)*RLZ_ABR+ROUND($T$100,2),2)</f>
        <v>#REF!</v>
      </c>
      <c r="Q300" s="24" t="e">
        <f>ROUND(ROUND($U$100,4)*RLZ_ABR+ROUND($V$100,2),2)</f>
        <v>#REF!</v>
      </c>
      <c r="R300" s="24" t="e">
        <f>ROUND(ROUND($W$100,4)*RLZ_ABR+ROUND($X$100,2),2)</f>
        <v>#REF!</v>
      </c>
      <c r="S300" s="25" t="e">
        <f>ROUND(ROUND($Y$100,4)*RLZ_ABR+ROUND($Z$100,2),2)</f>
        <v>#REF!</v>
      </c>
      <c r="U300" s="64"/>
      <c r="V300" s="64"/>
      <c r="W300" s="64"/>
      <c r="X300" s="64"/>
      <c r="Y300" s="64"/>
      <c r="AA300" s="29"/>
      <c r="AB300" s="220"/>
    </row>
    <row r="301" spans="1:28" s="308" customFormat="1" x14ac:dyDescent="0.2">
      <c r="A301" s="37"/>
      <c r="B301" s="37"/>
      <c r="C301" s="37"/>
      <c r="D301" s="37"/>
      <c r="E301" s="37"/>
      <c r="F301" s="37"/>
      <c r="G301" s="37"/>
      <c r="H301" s="37"/>
      <c r="I301" s="37"/>
      <c r="J301" s="26"/>
      <c r="K301" s="27"/>
      <c r="L301" s="332"/>
      <c r="M301" s="333">
        <v>1</v>
      </c>
      <c r="N301" s="333">
        <v>2</v>
      </c>
      <c r="O301" s="333">
        <v>3</v>
      </c>
      <c r="P301" s="333">
        <v>4</v>
      </c>
      <c r="Q301" s="333">
        <v>5</v>
      </c>
      <c r="R301" s="333">
        <v>6</v>
      </c>
      <c r="S301" s="333">
        <v>7</v>
      </c>
      <c r="T301" s="333">
        <v>1</v>
      </c>
      <c r="U301" s="333">
        <v>2</v>
      </c>
      <c r="V301" s="333">
        <v>3</v>
      </c>
      <c r="W301" s="333">
        <v>4</v>
      </c>
      <c r="X301" s="333">
        <v>5</v>
      </c>
      <c r="Y301" s="333">
        <v>6</v>
      </c>
      <c r="Z301" s="341">
        <v>7</v>
      </c>
      <c r="AA301" s="29"/>
      <c r="AB301" s="310"/>
    </row>
    <row r="302" spans="1:28" s="308" customFormat="1" x14ac:dyDescent="0.2">
      <c r="A302" s="37"/>
      <c r="B302" s="37"/>
      <c r="C302" s="37"/>
      <c r="D302" s="37"/>
      <c r="E302" s="37"/>
      <c r="F302" s="37"/>
      <c r="G302" s="37"/>
      <c r="H302" s="37"/>
      <c r="I302" s="37"/>
      <c r="J302" s="26"/>
      <c r="K302" s="345" t="s">
        <v>149</v>
      </c>
      <c r="L302" s="334" t="s">
        <v>10</v>
      </c>
      <c r="M302" s="335" t="e">
        <f t="shared" ref="M302:S305" si="40">AVERAGE(M126,M150,M174,M198,M222,M246,M270)-M126</f>
        <v>#REF!</v>
      </c>
      <c r="N302" s="335" t="e">
        <f t="shared" si="40"/>
        <v>#REF!</v>
      </c>
      <c r="O302" s="335" t="e">
        <f t="shared" si="40"/>
        <v>#REF!</v>
      </c>
      <c r="P302" s="335" t="e">
        <f t="shared" si="40"/>
        <v>#REF!</v>
      </c>
      <c r="Q302" s="335" t="e">
        <f t="shared" si="40"/>
        <v>#REF!</v>
      </c>
      <c r="R302" s="335" t="e">
        <f t="shared" si="40"/>
        <v>#REF!</v>
      </c>
      <c r="S302" s="335" t="e">
        <f t="shared" si="40"/>
        <v>#REF!</v>
      </c>
      <c r="T302" s="335" t="e">
        <f t="shared" ref="T302:T310" si="41">AVERAGE(M137,M161,M185,M209,M233,M257,M281)-M137</f>
        <v>#REF!</v>
      </c>
      <c r="U302" s="335" t="e">
        <f t="shared" ref="U302:U310" si="42">AVERAGE(N137,N161,N185,N209,N233,N257,N281)-N137</f>
        <v>#REF!</v>
      </c>
      <c r="V302" s="335" t="e">
        <f t="shared" ref="V302:V310" si="43">AVERAGE(O137,O161,O185,O209,O233,O257,O281)-O137</f>
        <v>#REF!</v>
      </c>
      <c r="W302" s="335" t="e">
        <f t="shared" ref="W302:W310" si="44">AVERAGE(P137,P161,P185,P209,P233,P257,P281)-P137</f>
        <v>#REF!</v>
      </c>
      <c r="X302" s="335" t="e">
        <f t="shared" ref="X302:X310" si="45">AVERAGE(Q137,Q161,Q185,Q209,Q233,Q257,Q281)-Q137</f>
        <v>#REF!</v>
      </c>
      <c r="Y302" s="335" t="e">
        <f t="shared" ref="Y302:Y310" si="46">AVERAGE(R137,R161,R185,R209,R233,R257,R281)-R137</f>
        <v>#REF!</v>
      </c>
      <c r="Z302" s="342" t="e">
        <f t="shared" ref="Z302:Z310" si="47">AVERAGE(S137,S161,S185,S209,S233,S257,S281)-S137</f>
        <v>#REF!</v>
      </c>
      <c r="AA302" s="29"/>
      <c r="AB302" s="310"/>
    </row>
    <row r="303" spans="1:28" s="308" customFormat="1" x14ac:dyDescent="0.2">
      <c r="A303" s="37"/>
      <c r="B303" s="37"/>
      <c r="C303" s="37"/>
      <c r="D303" s="37"/>
      <c r="E303" s="37"/>
      <c r="F303" s="37"/>
      <c r="G303" s="37"/>
      <c r="H303" s="37"/>
      <c r="I303" s="37"/>
      <c r="J303" s="26"/>
      <c r="K303" s="27"/>
      <c r="L303" s="334" t="s">
        <v>18</v>
      </c>
      <c r="M303" s="335" t="e">
        <f t="shared" si="40"/>
        <v>#REF!</v>
      </c>
      <c r="N303" s="335" t="e">
        <f t="shared" si="40"/>
        <v>#REF!</v>
      </c>
      <c r="O303" s="335" t="e">
        <f t="shared" si="40"/>
        <v>#REF!</v>
      </c>
      <c r="P303" s="335" t="e">
        <f t="shared" si="40"/>
        <v>#REF!</v>
      </c>
      <c r="Q303" s="336" t="e">
        <f t="shared" si="40"/>
        <v>#REF!</v>
      </c>
      <c r="R303" s="335" t="e">
        <f t="shared" si="40"/>
        <v>#REF!</v>
      </c>
      <c r="S303" s="335" t="e">
        <f t="shared" si="40"/>
        <v>#REF!</v>
      </c>
      <c r="T303" s="335" t="e">
        <f t="shared" si="41"/>
        <v>#REF!</v>
      </c>
      <c r="U303" s="335" t="e">
        <f t="shared" si="42"/>
        <v>#REF!</v>
      </c>
      <c r="V303" s="335" t="e">
        <f t="shared" si="43"/>
        <v>#REF!</v>
      </c>
      <c r="W303" s="335" t="e">
        <f t="shared" si="44"/>
        <v>#REF!</v>
      </c>
      <c r="X303" s="335" t="e">
        <f t="shared" si="45"/>
        <v>#REF!</v>
      </c>
      <c r="Y303" s="335" t="e">
        <f t="shared" si="46"/>
        <v>#REF!</v>
      </c>
      <c r="Z303" s="342" t="e">
        <f t="shared" si="47"/>
        <v>#REF!</v>
      </c>
      <c r="AA303" s="29"/>
      <c r="AB303" s="310"/>
    </row>
    <row r="304" spans="1:28" s="308" customFormat="1" x14ac:dyDescent="0.2">
      <c r="A304" s="37"/>
      <c r="B304" s="37"/>
      <c r="C304" s="37"/>
      <c r="D304" s="37"/>
      <c r="E304" s="37"/>
      <c r="F304" s="37"/>
      <c r="G304" s="37"/>
      <c r="H304" s="37"/>
      <c r="I304" s="37"/>
      <c r="J304" s="26"/>
      <c r="K304" s="27"/>
      <c r="L304" s="334" t="s">
        <v>19</v>
      </c>
      <c r="M304" s="335" t="e">
        <f t="shared" si="40"/>
        <v>#REF!</v>
      </c>
      <c r="N304" s="335" t="e">
        <f t="shared" si="40"/>
        <v>#REF!</v>
      </c>
      <c r="O304" s="335" t="e">
        <f t="shared" si="40"/>
        <v>#REF!</v>
      </c>
      <c r="P304" s="335" t="e">
        <f t="shared" si="40"/>
        <v>#REF!</v>
      </c>
      <c r="Q304" s="335" t="e">
        <f t="shared" si="40"/>
        <v>#REF!</v>
      </c>
      <c r="R304" s="335" t="e">
        <f t="shared" si="40"/>
        <v>#REF!</v>
      </c>
      <c r="S304" s="335" t="e">
        <f t="shared" si="40"/>
        <v>#REF!</v>
      </c>
      <c r="T304" s="335" t="e">
        <f t="shared" si="41"/>
        <v>#REF!</v>
      </c>
      <c r="U304" s="335" t="e">
        <f t="shared" si="42"/>
        <v>#REF!</v>
      </c>
      <c r="V304" s="335" t="e">
        <f t="shared" si="43"/>
        <v>#REF!</v>
      </c>
      <c r="W304" s="335" t="e">
        <f t="shared" si="44"/>
        <v>#REF!</v>
      </c>
      <c r="X304" s="335" t="e">
        <f t="shared" si="45"/>
        <v>#REF!</v>
      </c>
      <c r="Y304" s="335" t="e">
        <f t="shared" si="46"/>
        <v>#REF!</v>
      </c>
      <c r="Z304" s="342" t="e">
        <f t="shared" si="47"/>
        <v>#REF!</v>
      </c>
      <c r="AA304" s="29"/>
      <c r="AB304" s="310"/>
    </row>
    <row r="305" spans="1:28" s="308" customFormat="1" x14ac:dyDescent="0.2">
      <c r="A305" s="37"/>
      <c r="B305" s="37"/>
      <c r="C305" s="37"/>
      <c r="D305" s="37"/>
      <c r="E305" s="37"/>
      <c r="F305" s="37"/>
      <c r="G305" s="37"/>
      <c r="H305" s="37"/>
      <c r="I305" s="37"/>
      <c r="J305" s="26"/>
      <c r="K305" s="27"/>
      <c r="L305" s="334" t="s">
        <v>20</v>
      </c>
      <c r="M305" s="335" t="e">
        <f t="shared" si="40"/>
        <v>#REF!</v>
      </c>
      <c r="N305" s="335" t="e">
        <f t="shared" si="40"/>
        <v>#REF!</v>
      </c>
      <c r="O305" s="335" t="e">
        <f t="shared" si="40"/>
        <v>#REF!</v>
      </c>
      <c r="P305" s="335" t="e">
        <f t="shared" si="40"/>
        <v>#REF!</v>
      </c>
      <c r="Q305" s="335" t="e">
        <f t="shared" si="40"/>
        <v>#REF!</v>
      </c>
      <c r="R305" s="335" t="e">
        <f t="shared" si="40"/>
        <v>#REF!</v>
      </c>
      <c r="S305" s="335" t="e">
        <f t="shared" si="40"/>
        <v>#DIV/0!</v>
      </c>
      <c r="T305" s="335" t="e">
        <f t="shared" si="41"/>
        <v>#REF!</v>
      </c>
      <c r="U305" s="335" t="e">
        <f t="shared" si="42"/>
        <v>#REF!</v>
      </c>
      <c r="V305" s="335" t="e">
        <f t="shared" si="43"/>
        <v>#REF!</v>
      </c>
      <c r="W305" s="335" t="e">
        <f t="shared" si="44"/>
        <v>#REF!</v>
      </c>
      <c r="X305" s="335" t="e">
        <f t="shared" si="45"/>
        <v>#REF!</v>
      </c>
      <c r="Y305" s="335" t="e">
        <f t="shared" si="46"/>
        <v>#REF!</v>
      </c>
      <c r="Z305" s="342" t="e">
        <f t="shared" si="47"/>
        <v>#DIV/0!</v>
      </c>
      <c r="AA305" s="29"/>
      <c r="AB305" s="310"/>
    </row>
    <row r="306" spans="1:28" s="308" customFormat="1" x14ac:dyDescent="0.2">
      <c r="A306" s="37"/>
      <c r="B306" s="37"/>
      <c r="C306" s="37"/>
      <c r="D306" s="37"/>
      <c r="E306" s="37"/>
      <c r="F306" s="37"/>
      <c r="G306" s="37"/>
      <c r="H306" s="37"/>
      <c r="I306" s="37"/>
      <c r="J306" s="26"/>
      <c r="K306" s="27"/>
      <c r="L306" s="334" t="s">
        <v>22</v>
      </c>
      <c r="M306" s="335" t="e">
        <f t="shared" ref="M306:S306" si="48">AVERAGE(M130,M154,M178,M202,M226,M250,M274)-M130</f>
        <v>#REF!</v>
      </c>
      <c r="N306" s="335" t="e">
        <f t="shared" si="48"/>
        <v>#REF!</v>
      </c>
      <c r="O306" s="335" t="e">
        <f t="shared" si="48"/>
        <v>#REF!</v>
      </c>
      <c r="P306" s="335" t="e">
        <f t="shared" si="48"/>
        <v>#REF!</v>
      </c>
      <c r="Q306" s="335" t="e">
        <f t="shared" si="48"/>
        <v>#REF!</v>
      </c>
      <c r="R306" s="335" t="e">
        <f t="shared" si="48"/>
        <v>#DIV/0!</v>
      </c>
      <c r="S306" s="335" t="e">
        <f t="shared" si="48"/>
        <v>#DIV/0!</v>
      </c>
      <c r="T306" s="335" t="e">
        <f t="shared" si="41"/>
        <v>#REF!</v>
      </c>
      <c r="U306" s="335" t="e">
        <f t="shared" si="42"/>
        <v>#REF!</v>
      </c>
      <c r="V306" s="335" t="e">
        <f t="shared" si="43"/>
        <v>#REF!</v>
      </c>
      <c r="W306" s="335" t="e">
        <f t="shared" si="44"/>
        <v>#REF!</v>
      </c>
      <c r="X306" s="335" t="e">
        <f t="shared" si="45"/>
        <v>#REF!</v>
      </c>
      <c r="Y306" s="335" t="e">
        <f t="shared" si="46"/>
        <v>#DIV/0!</v>
      </c>
      <c r="Z306" s="342" t="e">
        <f t="shared" si="47"/>
        <v>#DIV/0!</v>
      </c>
      <c r="AA306" s="29"/>
      <c r="AB306" s="310"/>
    </row>
    <row r="307" spans="1:28" s="308" customFormat="1" x14ac:dyDescent="0.2">
      <c r="A307" s="37"/>
      <c r="B307" s="37"/>
      <c r="C307" s="37"/>
      <c r="D307" s="37"/>
      <c r="E307" s="37"/>
      <c r="F307" s="37"/>
      <c r="G307" s="37"/>
      <c r="H307" s="37"/>
      <c r="I307" s="37"/>
      <c r="J307" s="26"/>
      <c r="K307" s="27"/>
      <c r="L307" s="334" t="s">
        <v>23</v>
      </c>
      <c r="M307" s="335" t="e">
        <f>AVERAGE(M131,M155,M179,M203,M227,M251,M275)-M131</f>
        <v>#REF!</v>
      </c>
      <c r="N307" s="335" t="e">
        <f t="shared" ref="N307:S307" si="49">AVERAGE(N131,N155,N179,N203,N227,N251,N275)-N131</f>
        <v>#REF!</v>
      </c>
      <c r="O307" s="335" t="e">
        <f t="shared" si="49"/>
        <v>#REF!</v>
      </c>
      <c r="P307" s="335" t="e">
        <f t="shared" si="49"/>
        <v>#REF!</v>
      </c>
      <c r="Q307" s="335" t="e">
        <f>AVERAGE(Q131,Q155,Q179,Q203,Q227,Q251,Q275)-Q131</f>
        <v>#DIV/0!</v>
      </c>
      <c r="R307" s="335" t="e">
        <f t="shared" si="49"/>
        <v>#DIV/0!</v>
      </c>
      <c r="S307" s="335" t="e">
        <f t="shared" si="49"/>
        <v>#DIV/0!</v>
      </c>
      <c r="T307" s="335" t="e">
        <f t="shared" si="41"/>
        <v>#REF!</v>
      </c>
      <c r="U307" s="335" t="e">
        <f t="shared" si="42"/>
        <v>#REF!</v>
      </c>
      <c r="V307" s="335" t="e">
        <f t="shared" si="43"/>
        <v>#REF!</v>
      </c>
      <c r="W307" s="335" t="e">
        <f t="shared" si="44"/>
        <v>#REF!</v>
      </c>
      <c r="X307" s="335" t="e">
        <f t="shared" si="45"/>
        <v>#DIV/0!</v>
      </c>
      <c r="Y307" s="335" t="e">
        <f t="shared" si="46"/>
        <v>#DIV/0!</v>
      </c>
      <c r="Z307" s="342" t="e">
        <f t="shared" si="47"/>
        <v>#DIV/0!</v>
      </c>
      <c r="AA307" s="29"/>
      <c r="AB307" s="310"/>
    </row>
    <row r="308" spans="1:28" s="308" customFormat="1" x14ac:dyDescent="0.2">
      <c r="A308" s="37"/>
      <c r="B308" s="37"/>
      <c r="C308" s="37"/>
      <c r="D308" s="37"/>
      <c r="E308" s="37"/>
      <c r="F308" s="37"/>
      <c r="G308" s="37"/>
      <c r="H308" s="37"/>
      <c r="I308" s="37"/>
      <c r="J308" s="26"/>
      <c r="K308" s="27"/>
      <c r="L308" s="334" t="s">
        <v>15</v>
      </c>
      <c r="M308" s="335" t="e">
        <f t="shared" ref="M308:S308" si="50">AVERAGE(M132,M156,M180,M204,M228,M252,M276)-M132</f>
        <v>#REF!</v>
      </c>
      <c r="N308" s="335" t="e">
        <f t="shared" si="50"/>
        <v>#REF!</v>
      </c>
      <c r="O308" s="335" t="e">
        <f t="shared" si="50"/>
        <v>#REF!</v>
      </c>
      <c r="P308" s="335" t="e">
        <f t="shared" si="50"/>
        <v>#REF!</v>
      </c>
      <c r="Q308" s="335" t="e">
        <f t="shared" si="50"/>
        <v>#REF!</v>
      </c>
      <c r="R308" s="335" t="e">
        <f t="shared" si="50"/>
        <v>#REF!</v>
      </c>
      <c r="S308" s="335" t="e">
        <f t="shared" si="50"/>
        <v>#REF!</v>
      </c>
      <c r="T308" s="335" t="e">
        <f t="shared" si="41"/>
        <v>#REF!</v>
      </c>
      <c r="U308" s="335" t="e">
        <f t="shared" si="42"/>
        <v>#REF!</v>
      </c>
      <c r="V308" s="335" t="e">
        <f t="shared" si="43"/>
        <v>#REF!</v>
      </c>
      <c r="W308" s="337" t="e">
        <f t="shared" si="44"/>
        <v>#REF!</v>
      </c>
      <c r="X308" s="337" t="e">
        <f t="shared" si="45"/>
        <v>#REF!</v>
      </c>
      <c r="Y308" s="337" t="e">
        <f t="shared" si="46"/>
        <v>#REF!</v>
      </c>
      <c r="Z308" s="343" t="e">
        <f t="shared" si="47"/>
        <v>#REF!</v>
      </c>
      <c r="AA308" s="29"/>
      <c r="AB308" s="310"/>
    </row>
    <row r="309" spans="1:28" s="308" customFormat="1" x14ac:dyDescent="0.2">
      <c r="A309" s="37"/>
      <c r="B309" s="37"/>
      <c r="C309" s="37"/>
      <c r="D309" s="37"/>
      <c r="E309" s="37"/>
      <c r="F309" s="37"/>
      <c r="G309" s="37"/>
      <c r="H309" s="37"/>
      <c r="I309" s="37"/>
      <c r="J309" s="26"/>
      <c r="K309" s="27"/>
      <c r="L309" s="334" t="s">
        <v>17</v>
      </c>
      <c r="M309" s="335" t="e">
        <f t="shared" ref="M309:S309" si="51">AVERAGE(M133,M157,M181,M205,M229,M253,M277)-M133</f>
        <v>#REF!</v>
      </c>
      <c r="N309" s="335" t="e">
        <f t="shared" si="51"/>
        <v>#REF!</v>
      </c>
      <c r="O309" s="335" t="e">
        <f t="shared" si="51"/>
        <v>#REF!</v>
      </c>
      <c r="P309" s="335" t="e">
        <f t="shared" si="51"/>
        <v>#REF!</v>
      </c>
      <c r="Q309" s="335" t="e">
        <f t="shared" si="51"/>
        <v>#REF!</v>
      </c>
      <c r="R309" s="335" t="e">
        <f t="shared" si="51"/>
        <v>#REF!</v>
      </c>
      <c r="S309" s="335" t="e">
        <f t="shared" si="51"/>
        <v>#REF!</v>
      </c>
      <c r="T309" s="335" t="e">
        <f t="shared" si="41"/>
        <v>#REF!</v>
      </c>
      <c r="U309" s="335" t="e">
        <f t="shared" si="42"/>
        <v>#REF!</v>
      </c>
      <c r="V309" s="335" t="e">
        <f t="shared" si="43"/>
        <v>#REF!</v>
      </c>
      <c r="W309" s="335" t="e">
        <f t="shared" si="44"/>
        <v>#REF!</v>
      </c>
      <c r="X309" s="335" t="e">
        <f t="shared" si="45"/>
        <v>#REF!</v>
      </c>
      <c r="Y309" s="335" t="e">
        <f t="shared" si="46"/>
        <v>#REF!</v>
      </c>
      <c r="Z309" s="342" t="e">
        <f t="shared" si="47"/>
        <v>#REF!</v>
      </c>
      <c r="AA309" s="29"/>
      <c r="AB309" s="310"/>
    </row>
    <row r="310" spans="1:28" s="308" customFormat="1" ht="13.5" thickBot="1" x14ac:dyDescent="0.25">
      <c r="A310" s="37"/>
      <c r="B310" s="37"/>
      <c r="C310" s="37"/>
      <c r="D310" s="37"/>
      <c r="E310" s="37"/>
      <c r="F310" s="37"/>
      <c r="G310" s="37"/>
      <c r="H310" s="37"/>
      <c r="I310" s="37"/>
      <c r="J310" s="93"/>
      <c r="K310" s="94"/>
      <c r="L310" s="338" t="s">
        <v>7</v>
      </c>
      <c r="M310" s="339" t="e">
        <f t="shared" ref="M310:S310" si="52">AVERAGE(M134,M158,M182,M206,M230,M254,M278)-M134</f>
        <v>#REF!</v>
      </c>
      <c r="N310" s="339" t="e">
        <f t="shared" si="52"/>
        <v>#REF!</v>
      </c>
      <c r="O310" s="339" t="e">
        <f t="shared" si="52"/>
        <v>#REF!</v>
      </c>
      <c r="P310" s="339" t="e">
        <f>AVERAGE(P134,P158,P182,P206,P230,P254,P278)-P134</f>
        <v>#REF!</v>
      </c>
      <c r="Q310" s="339" t="e">
        <f>AVERAGE(Q134,Q158,Q182,Q206,Q230,Q254,Q278)-Q134</f>
        <v>#REF!</v>
      </c>
      <c r="R310" s="339" t="e">
        <f t="shared" si="52"/>
        <v>#REF!</v>
      </c>
      <c r="S310" s="339" t="e">
        <f t="shared" si="52"/>
        <v>#REF!</v>
      </c>
      <c r="T310" s="339" t="e">
        <f t="shared" si="41"/>
        <v>#REF!</v>
      </c>
      <c r="U310" s="339" t="e">
        <f t="shared" si="42"/>
        <v>#REF!</v>
      </c>
      <c r="V310" s="339" t="e">
        <f t="shared" si="43"/>
        <v>#REF!</v>
      </c>
      <c r="W310" s="339" t="e">
        <f t="shared" si="44"/>
        <v>#REF!</v>
      </c>
      <c r="X310" s="339" t="e">
        <f t="shared" si="45"/>
        <v>#REF!</v>
      </c>
      <c r="Y310" s="339" t="e">
        <f t="shared" si="46"/>
        <v>#REF!</v>
      </c>
      <c r="Z310" s="344" t="e">
        <f t="shared" si="47"/>
        <v>#REF!</v>
      </c>
      <c r="AA310" s="281"/>
      <c r="AB310" s="310"/>
    </row>
    <row r="311" spans="1:28" s="308" customFormat="1" x14ac:dyDescent="0.2">
      <c r="A311" s="27"/>
      <c r="B311" s="27"/>
      <c r="C311" s="27"/>
      <c r="D311" s="27"/>
      <c r="E311" s="27"/>
      <c r="F311" s="27"/>
      <c r="G311" s="27"/>
      <c r="H311" s="27"/>
      <c r="I311" s="27"/>
      <c r="J311" s="27"/>
      <c r="K311" s="27"/>
      <c r="L311" s="27"/>
      <c r="M311" s="32"/>
      <c r="N311" s="27"/>
      <c r="O311" s="27"/>
      <c r="P311" s="27"/>
      <c r="Q311" s="27"/>
      <c r="R311" s="27"/>
      <c r="S311" s="27"/>
      <c r="T311" s="27"/>
      <c r="U311" s="27"/>
      <c r="V311" s="27"/>
      <c r="W311" s="27"/>
      <c r="X311" s="27"/>
      <c r="Y311" s="27"/>
      <c r="Z311" s="27"/>
      <c r="AA311" s="27"/>
      <c r="AB311" s="310"/>
    </row>
    <row r="312" spans="1:28" s="308" customFormat="1" x14ac:dyDescent="0.2">
      <c r="M312" s="309"/>
      <c r="AB312" s="310"/>
    </row>
    <row r="313" spans="1:28" s="308" customFormat="1" x14ac:dyDescent="0.2">
      <c r="M313" s="309"/>
      <c r="AB313" s="310"/>
    </row>
    <row r="314" spans="1:28" s="308" customFormat="1" x14ac:dyDescent="0.2">
      <c r="M314" s="309"/>
      <c r="AB314" s="310"/>
    </row>
    <row r="315" spans="1:28" s="308" customFormat="1" x14ac:dyDescent="0.2">
      <c r="M315" s="309"/>
      <c r="AB315" s="310"/>
    </row>
    <row r="316" spans="1:28" s="308" customFormat="1" x14ac:dyDescent="0.2">
      <c r="M316" s="309"/>
      <c r="AB316" s="310"/>
    </row>
    <row r="317" spans="1:28" s="308" customFormat="1" x14ac:dyDescent="0.2">
      <c r="L317" s="308" t="s">
        <v>18</v>
      </c>
      <c r="M317" s="309">
        <v>3</v>
      </c>
      <c r="O317" s="308">
        <f>VLOOKUP(X64,L317:M323,2)</f>
        <v>7</v>
      </c>
      <c r="AB317" s="310"/>
    </row>
    <row r="318" spans="1:28" s="308" customFormat="1" x14ac:dyDescent="0.2">
      <c r="L318" s="308" t="s">
        <v>19</v>
      </c>
      <c r="M318" s="309">
        <v>4</v>
      </c>
      <c r="AB318" s="310"/>
    </row>
    <row r="319" spans="1:28" s="308" customFormat="1" x14ac:dyDescent="0.2">
      <c r="L319" s="308" t="s">
        <v>20</v>
      </c>
      <c r="M319" s="309">
        <v>5</v>
      </c>
      <c r="AB319" s="310"/>
    </row>
    <row r="320" spans="1:28" s="308" customFormat="1" x14ac:dyDescent="0.2">
      <c r="L320" s="308" t="s">
        <v>22</v>
      </c>
      <c r="M320" s="309">
        <v>6</v>
      </c>
      <c r="AB320" s="310"/>
    </row>
    <row r="321" spans="12:28" s="308" customFormat="1" x14ac:dyDescent="0.2">
      <c r="L321" s="308" t="s">
        <v>23</v>
      </c>
      <c r="M321" s="309">
        <v>7</v>
      </c>
      <c r="AB321" s="310"/>
    </row>
    <row r="322" spans="12:28" s="308" customFormat="1" x14ac:dyDescent="0.2">
      <c r="L322" s="308" t="s">
        <v>15</v>
      </c>
      <c r="M322" s="309">
        <v>2</v>
      </c>
      <c r="AB322" s="310"/>
    </row>
    <row r="323" spans="12:28" s="308" customFormat="1" x14ac:dyDescent="0.2">
      <c r="L323" s="308" t="s">
        <v>7</v>
      </c>
      <c r="M323" s="309">
        <v>1</v>
      </c>
      <c r="AB323" s="310"/>
    </row>
    <row r="324" spans="12:28" s="308" customFormat="1" x14ac:dyDescent="0.2">
      <c r="M324" s="309"/>
      <c r="AB324" s="310"/>
    </row>
    <row r="325" spans="12:28" s="308" customFormat="1" x14ac:dyDescent="0.2">
      <c r="M325" s="309"/>
      <c r="AB325" s="310"/>
    </row>
    <row r="326" spans="12:28" s="308" customFormat="1" x14ac:dyDescent="0.2">
      <c r="L326" s="308" t="s">
        <v>64</v>
      </c>
      <c r="M326" s="309">
        <v>3</v>
      </c>
      <c r="O326" s="308" t="e">
        <f>VLOOKUP(#REF!,L326:M337,2)</f>
        <v>#REF!</v>
      </c>
      <c r="AB326" s="310"/>
    </row>
    <row r="327" spans="12:28" s="308" customFormat="1" x14ac:dyDescent="0.2">
      <c r="L327" s="308" t="s">
        <v>139</v>
      </c>
      <c r="M327" s="309">
        <v>4</v>
      </c>
      <c r="AB327" s="310"/>
    </row>
    <row r="328" spans="12:28" s="308" customFormat="1" x14ac:dyDescent="0.2">
      <c r="L328" s="308" t="s">
        <v>66</v>
      </c>
      <c r="M328" s="309">
        <v>5</v>
      </c>
      <c r="AB328" s="310"/>
    </row>
    <row r="329" spans="12:28" s="308" customFormat="1" x14ac:dyDescent="0.2">
      <c r="L329" s="308" t="s">
        <v>140</v>
      </c>
      <c r="M329" s="309">
        <v>6</v>
      </c>
      <c r="AB329" s="310"/>
    </row>
    <row r="330" spans="12:28" s="308" customFormat="1" x14ac:dyDescent="0.2">
      <c r="L330" s="308" t="s">
        <v>68</v>
      </c>
      <c r="M330" s="309">
        <v>7</v>
      </c>
      <c r="AB330" s="310"/>
    </row>
    <row r="331" spans="12:28" s="308" customFormat="1" x14ac:dyDescent="0.2">
      <c r="L331" s="308" t="s">
        <v>52</v>
      </c>
      <c r="M331" s="309">
        <v>8</v>
      </c>
      <c r="AB331" s="310"/>
    </row>
    <row r="332" spans="12:28" s="308" customFormat="1" x14ac:dyDescent="0.2">
      <c r="L332" s="308" t="s">
        <v>141</v>
      </c>
      <c r="M332" s="309">
        <v>9</v>
      </c>
      <c r="AB332" s="310"/>
    </row>
    <row r="333" spans="12:28" s="308" customFormat="1" x14ac:dyDescent="0.2">
      <c r="L333" s="308" t="s">
        <v>57</v>
      </c>
      <c r="M333" s="309">
        <v>10</v>
      </c>
      <c r="AB333" s="310"/>
    </row>
    <row r="334" spans="12:28" s="308" customFormat="1" x14ac:dyDescent="0.2">
      <c r="L334" s="308" t="s">
        <v>58</v>
      </c>
      <c r="M334" s="309">
        <v>11</v>
      </c>
      <c r="AB334" s="310"/>
    </row>
    <row r="335" spans="12:28" s="308" customFormat="1" x14ac:dyDescent="0.2">
      <c r="L335" s="308" t="s">
        <v>59</v>
      </c>
      <c r="M335" s="309">
        <v>12</v>
      </c>
      <c r="AB335" s="310"/>
    </row>
    <row r="336" spans="12:28" s="308" customFormat="1" x14ac:dyDescent="0.2">
      <c r="L336" s="308" t="s">
        <v>69</v>
      </c>
      <c r="M336" s="309">
        <v>1</v>
      </c>
      <c r="AB336" s="310"/>
    </row>
    <row r="337" spans="12:28" s="308" customFormat="1" x14ac:dyDescent="0.2">
      <c r="L337" s="308" t="s">
        <v>70</v>
      </c>
      <c r="M337" s="309">
        <v>2</v>
      </c>
      <c r="AB337" s="310"/>
    </row>
    <row r="338" spans="12:28" s="308" customFormat="1" x14ac:dyDescent="0.2">
      <c r="M338" s="309"/>
      <c r="AB338" s="310"/>
    </row>
    <row r="339" spans="12:28" s="308" customFormat="1" x14ac:dyDescent="0.2">
      <c r="M339" s="309"/>
      <c r="AB339" s="310"/>
    </row>
    <row r="340" spans="12:28" s="308" customFormat="1" x14ac:dyDescent="0.2">
      <c r="M340" s="309"/>
      <c r="AB340" s="310"/>
    </row>
    <row r="341" spans="12:28" s="308" customFormat="1" x14ac:dyDescent="0.2">
      <c r="M341" s="309"/>
      <c r="AB341" s="310"/>
    </row>
    <row r="342" spans="12:28" s="308" customFormat="1" x14ac:dyDescent="0.2">
      <c r="M342" s="309"/>
      <c r="AB342" s="310"/>
    </row>
    <row r="343" spans="12:28" s="308" customFormat="1" x14ac:dyDescent="0.2">
      <c r="M343" s="309"/>
      <c r="AB343" s="310"/>
    </row>
    <row r="344" spans="12:28" s="308" customFormat="1" x14ac:dyDescent="0.2">
      <c r="M344" s="309"/>
      <c r="AB344" s="310"/>
    </row>
    <row r="345" spans="12:28" s="308" customFormat="1" x14ac:dyDescent="0.2">
      <c r="M345" s="309"/>
      <c r="AB345" s="310"/>
    </row>
    <row r="346" spans="12:28" s="308" customFormat="1" x14ac:dyDescent="0.2">
      <c r="M346" s="309"/>
      <c r="AB346" s="310"/>
    </row>
    <row r="347" spans="12:28" s="308" customFormat="1" x14ac:dyDescent="0.2">
      <c r="M347" s="309"/>
      <c r="AB347" s="310"/>
    </row>
    <row r="348" spans="12:28" s="308" customFormat="1" x14ac:dyDescent="0.2">
      <c r="M348" s="309"/>
      <c r="AB348" s="310"/>
    </row>
    <row r="349" spans="12:28" s="308" customFormat="1" x14ac:dyDescent="0.2">
      <c r="M349" s="309"/>
      <c r="AB349" s="310"/>
    </row>
    <row r="350" spans="12:28" s="308" customFormat="1" x14ac:dyDescent="0.2">
      <c r="M350" s="309"/>
      <c r="AB350" s="310"/>
    </row>
    <row r="351" spans="12:28" s="308" customFormat="1" x14ac:dyDescent="0.2">
      <c r="M351" s="309"/>
      <c r="AB351" s="310"/>
    </row>
    <row r="352" spans="12:28" s="308" customFormat="1" x14ac:dyDescent="0.2">
      <c r="M352" s="309"/>
      <c r="AB352" s="310"/>
    </row>
    <row r="353" spans="13:28" s="308" customFormat="1" x14ac:dyDescent="0.2">
      <c r="M353" s="309"/>
      <c r="AB353" s="310"/>
    </row>
    <row r="354" spans="13:28" s="308" customFormat="1" x14ac:dyDescent="0.2">
      <c r="M354" s="309"/>
      <c r="AB354" s="310"/>
    </row>
    <row r="355" spans="13:28" s="308" customFormat="1" x14ac:dyDescent="0.2">
      <c r="M355" s="309"/>
      <c r="AB355" s="310"/>
    </row>
    <row r="356" spans="13:28" s="308" customFormat="1" x14ac:dyDescent="0.2">
      <c r="M356" s="309"/>
      <c r="AB356" s="310"/>
    </row>
    <row r="357" spans="13:28" s="308" customFormat="1" x14ac:dyDescent="0.2">
      <c r="M357" s="309"/>
      <c r="AB357" s="310"/>
    </row>
    <row r="358" spans="13:28" s="308" customFormat="1" x14ac:dyDescent="0.2">
      <c r="M358" s="309"/>
      <c r="AB358" s="310"/>
    </row>
    <row r="359" spans="13:28" s="308" customFormat="1" x14ac:dyDescent="0.2">
      <c r="M359" s="309"/>
      <c r="AB359" s="310"/>
    </row>
    <row r="360" spans="13:28" s="308" customFormat="1" x14ac:dyDescent="0.2">
      <c r="M360" s="309"/>
      <c r="AB360" s="310"/>
    </row>
    <row r="361" spans="13:28" s="308" customFormat="1" x14ac:dyDescent="0.2">
      <c r="M361" s="309"/>
      <c r="AB361" s="310"/>
    </row>
    <row r="362" spans="13:28" s="308" customFormat="1" x14ac:dyDescent="0.2">
      <c r="M362" s="309"/>
      <c r="AB362" s="310"/>
    </row>
    <row r="363" spans="13:28" s="308" customFormat="1" x14ac:dyDescent="0.2">
      <c r="M363" s="309"/>
      <c r="AB363" s="310"/>
    </row>
    <row r="364" spans="13:28" s="308" customFormat="1" x14ac:dyDescent="0.2">
      <c r="M364" s="309"/>
      <c r="AB364" s="310"/>
    </row>
    <row r="365" spans="13:28" s="308" customFormat="1" x14ac:dyDescent="0.2">
      <c r="M365" s="309"/>
      <c r="AB365" s="310"/>
    </row>
    <row r="366" spans="13:28" s="308" customFormat="1" x14ac:dyDescent="0.2">
      <c r="M366" s="309"/>
      <c r="AB366" s="310"/>
    </row>
    <row r="367" spans="13:28" s="308" customFormat="1" x14ac:dyDescent="0.2">
      <c r="M367" s="309"/>
      <c r="AB367" s="310"/>
    </row>
    <row r="368" spans="13:28" s="308" customFormat="1" x14ac:dyDescent="0.2">
      <c r="M368" s="309"/>
      <c r="AB368" s="310"/>
    </row>
    <row r="369" spans="13:28" s="308" customFormat="1" x14ac:dyDescent="0.2">
      <c r="M369" s="309"/>
      <c r="AB369" s="310"/>
    </row>
    <row r="370" spans="13:28" s="308" customFormat="1" x14ac:dyDescent="0.2">
      <c r="M370" s="309"/>
      <c r="AB370" s="310"/>
    </row>
    <row r="371" spans="13:28" s="308" customFormat="1" x14ac:dyDescent="0.2">
      <c r="M371" s="309"/>
      <c r="AB371" s="310"/>
    </row>
    <row r="372" spans="13:28" s="308" customFormat="1" x14ac:dyDescent="0.2">
      <c r="M372" s="309"/>
      <c r="AB372" s="310"/>
    </row>
    <row r="373" spans="13:28" s="308" customFormat="1" x14ac:dyDescent="0.2">
      <c r="M373" s="309"/>
      <c r="AB373" s="310"/>
    </row>
    <row r="374" spans="13:28" s="308" customFormat="1" x14ac:dyDescent="0.2">
      <c r="M374" s="309"/>
      <c r="AB374" s="310"/>
    </row>
    <row r="375" spans="13:28" s="308" customFormat="1" x14ac:dyDescent="0.2">
      <c r="M375" s="309"/>
      <c r="AB375" s="310"/>
    </row>
    <row r="376" spans="13:28" s="308" customFormat="1" x14ac:dyDescent="0.2">
      <c r="M376" s="309"/>
      <c r="AB376" s="310"/>
    </row>
    <row r="377" spans="13:28" s="308" customFormat="1" x14ac:dyDescent="0.2">
      <c r="M377" s="309"/>
      <c r="AB377" s="310"/>
    </row>
    <row r="378" spans="13:28" s="308" customFormat="1" x14ac:dyDescent="0.2">
      <c r="M378" s="309"/>
      <c r="AB378" s="310"/>
    </row>
    <row r="379" spans="13:28" s="308" customFormat="1" x14ac:dyDescent="0.2">
      <c r="M379" s="309"/>
      <c r="AB379" s="310"/>
    </row>
    <row r="380" spans="13:28" s="308" customFormat="1" x14ac:dyDescent="0.2">
      <c r="M380" s="309"/>
      <c r="AB380" s="310"/>
    </row>
    <row r="381" spans="13:28" s="308" customFormat="1" x14ac:dyDescent="0.2">
      <c r="M381" s="309"/>
      <c r="AB381" s="310"/>
    </row>
    <row r="382" spans="13:28" s="308" customFormat="1" x14ac:dyDescent="0.2">
      <c r="M382" s="309"/>
      <c r="AB382" s="310"/>
    </row>
    <row r="383" spans="13:28" s="308" customFormat="1" x14ac:dyDescent="0.2">
      <c r="M383" s="309"/>
      <c r="AB383" s="310"/>
    </row>
    <row r="384" spans="13:28" s="308" customFormat="1" x14ac:dyDescent="0.2">
      <c r="M384" s="309"/>
      <c r="AB384" s="310"/>
    </row>
    <row r="385" spans="13:28" s="308" customFormat="1" x14ac:dyDescent="0.2">
      <c r="M385" s="309"/>
      <c r="AB385" s="310"/>
    </row>
    <row r="386" spans="13:28" s="308" customFormat="1" x14ac:dyDescent="0.2">
      <c r="M386" s="309"/>
      <c r="AB386" s="310"/>
    </row>
    <row r="387" spans="13:28" s="308" customFormat="1" x14ac:dyDescent="0.2">
      <c r="M387" s="309"/>
      <c r="AB387" s="310"/>
    </row>
    <row r="388" spans="13:28" s="308" customFormat="1" x14ac:dyDescent="0.2">
      <c r="M388" s="309"/>
      <c r="AB388" s="310"/>
    </row>
    <row r="389" spans="13:28" s="308" customFormat="1" x14ac:dyDescent="0.2">
      <c r="M389" s="309"/>
      <c r="AB389" s="310"/>
    </row>
    <row r="390" spans="13:28" s="308" customFormat="1" x14ac:dyDescent="0.2">
      <c r="M390" s="309"/>
      <c r="AB390" s="310"/>
    </row>
    <row r="391" spans="13:28" s="308" customFormat="1" x14ac:dyDescent="0.2">
      <c r="M391" s="309"/>
      <c r="AB391" s="310"/>
    </row>
    <row r="392" spans="13:28" s="308" customFormat="1" x14ac:dyDescent="0.2">
      <c r="M392" s="309"/>
      <c r="AB392" s="310"/>
    </row>
    <row r="393" spans="13:28" s="308" customFormat="1" x14ac:dyDescent="0.2">
      <c r="M393" s="309"/>
      <c r="AB393" s="310"/>
    </row>
    <row r="394" spans="13:28" s="308" customFormat="1" x14ac:dyDescent="0.2">
      <c r="M394" s="309"/>
      <c r="AB394" s="310"/>
    </row>
    <row r="395" spans="13:28" s="308" customFormat="1" x14ac:dyDescent="0.2">
      <c r="M395" s="309"/>
      <c r="AB395" s="310"/>
    </row>
    <row r="396" spans="13:28" s="308" customFormat="1" x14ac:dyDescent="0.2">
      <c r="M396" s="309"/>
      <c r="AB396" s="310"/>
    </row>
    <row r="397" spans="13:28" s="308" customFormat="1" x14ac:dyDescent="0.2">
      <c r="M397" s="309"/>
      <c r="AB397" s="310"/>
    </row>
    <row r="398" spans="13:28" s="308" customFormat="1" x14ac:dyDescent="0.2">
      <c r="M398" s="309"/>
      <c r="AB398" s="310"/>
    </row>
    <row r="399" spans="13:28" s="308" customFormat="1" x14ac:dyDescent="0.2">
      <c r="M399" s="309"/>
      <c r="AB399" s="310"/>
    </row>
    <row r="400" spans="13:28" s="308" customFormat="1" x14ac:dyDescent="0.2">
      <c r="M400" s="309"/>
      <c r="AB400" s="310"/>
    </row>
    <row r="401" spans="13:28" s="308" customFormat="1" x14ac:dyDescent="0.2">
      <c r="M401" s="309"/>
      <c r="AB401" s="310"/>
    </row>
    <row r="402" spans="13:28" s="308" customFormat="1" x14ac:dyDescent="0.2">
      <c r="M402" s="309"/>
      <c r="AB402" s="310"/>
    </row>
    <row r="403" spans="13:28" s="308" customFormat="1" x14ac:dyDescent="0.2">
      <c r="M403" s="309"/>
      <c r="AB403" s="310"/>
    </row>
    <row r="404" spans="13:28" s="308" customFormat="1" x14ac:dyDescent="0.2">
      <c r="M404" s="309"/>
      <c r="AB404" s="310"/>
    </row>
    <row r="405" spans="13:28" s="308" customFormat="1" x14ac:dyDescent="0.2">
      <c r="M405" s="309"/>
      <c r="AB405" s="310"/>
    </row>
    <row r="406" spans="13:28" s="308" customFormat="1" x14ac:dyDescent="0.2">
      <c r="M406" s="309"/>
      <c r="AB406" s="310"/>
    </row>
    <row r="407" spans="13:28" s="308" customFormat="1" x14ac:dyDescent="0.2">
      <c r="M407" s="309"/>
      <c r="AB407" s="310"/>
    </row>
    <row r="408" spans="13:28" s="308" customFormat="1" x14ac:dyDescent="0.2">
      <c r="M408" s="309"/>
      <c r="AB408" s="310"/>
    </row>
    <row r="409" spans="13:28" s="308" customFormat="1" x14ac:dyDescent="0.2">
      <c r="M409" s="309"/>
      <c r="AB409" s="310"/>
    </row>
    <row r="410" spans="13:28" s="308" customFormat="1" x14ac:dyDescent="0.2">
      <c r="M410" s="309"/>
      <c r="AB410" s="310"/>
    </row>
    <row r="411" spans="13:28" s="308" customFormat="1" x14ac:dyDescent="0.2">
      <c r="M411" s="309"/>
      <c r="AB411" s="310"/>
    </row>
    <row r="412" spans="13:28" s="308" customFormat="1" x14ac:dyDescent="0.2">
      <c r="M412" s="309"/>
      <c r="AB412" s="310"/>
    </row>
    <row r="413" spans="13:28" s="308" customFormat="1" x14ac:dyDescent="0.2">
      <c r="M413" s="309"/>
      <c r="AB413" s="310"/>
    </row>
    <row r="414" spans="13:28" s="308" customFormat="1" x14ac:dyDescent="0.2">
      <c r="M414" s="309"/>
      <c r="AB414" s="310"/>
    </row>
    <row r="415" spans="13:28" s="308" customFormat="1" x14ac:dyDescent="0.2">
      <c r="M415" s="309"/>
      <c r="AB415" s="310"/>
    </row>
    <row r="416" spans="13:28" s="308" customFormat="1" x14ac:dyDescent="0.2">
      <c r="M416" s="309"/>
      <c r="AB416" s="310"/>
    </row>
    <row r="417" spans="13:28" s="308" customFormat="1" x14ac:dyDescent="0.2">
      <c r="M417" s="309"/>
      <c r="AB417" s="310"/>
    </row>
    <row r="418" spans="13:28" s="308" customFormat="1" x14ac:dyDescent="0.2">
      <c r="M418" s="309"/>
      <c r="AB418" s="310"/>
    </row>
    <row r="419" spans="13:28" s="308" customFormat="1" x14ac:dyDescent="0.2">
      <c r="M419" s="309"/>
      <c r="AB419" s="310"/>
    </row>
    <row r="420" spans="13:28" s="308" customFormat="1" x14ac:dyDescent="0.2">
      <c r="M420" s="309"/>
      <c r="AB420" s="310"/>
    </row>
    <row r="421" spans="13:28" s="308" customFormat="1" x14ac:dyDescent="0.2">
      <c r="M421" s="309"/>
      <c r="AB421" s="310"/>
    </row>
    <row r="422" spans="13:28" s="308" customFormat="1" x14ac:dyDescent="0.2">
      <c r="M422" s="309"/>
      <c r="AB422" s="310"/>
    </row>
    <row r="423" spans="13:28" s="308" customFormat="1" x14ac:dyDescent="0.2">
      <c r="M423" s="309"/>
      <c r="AB423" s="310"/>
    </row>
    <row r="424" spans="13:28" s="308" customFormat="1" x14ac:dyDescent="0.2">
      <c r="M424" s="309"/>
      <c r="AB424" s="310"/>
    </row>
    <row r="425" spans="13:28" s="308" customFormat="1" x14ac:dyDescent="0.2">
      <c r="M425" s="309"/>
      <c r="AB425" s="310"/>
    </row>
    <row r="426" spans="13:28" s="308" customFormat="1" x14ac:dyDescent="0.2">
      <c r="M426" s="309"/>
      <c r="AB426" s="310"/>
    </row>
    <row r="427" spans="13:28" s="308" customFormat="1" x14ac:dyDescent="0.2">
      <c r="M427" s="309"/>
      <c r="AB427" s="310"/>
    </row>
    <row r="428" spans="13:28" s="308" customFormat="1" x14ac:dyDescent="0.2">
      <c r="M428" s="309"/>
      <c r="AB428" s="310"/>
    </row>
    <row r="429" spans="13:28" s="308" customFormat="1" x14ac:dyDescent="0.2">
      <c r="M429" s="309"/>
      <c r="AB429" s="310"/>
    </row>
    <row r="430" spans="13:28" s="308" customFormat="1" x14ac:dyDescent="0.2">
      <c r="M430" s="309"/>
      <c r="AB430" s="310"/>
    </row>
    <row r="431" spans="13:28" s="308" customFormat="1" x14ac:dyDescent="0.2">
      <c r="M431" s="309"/>
      <c r="AB431" s="310"/>
    </row>
    <row r="432" spans="13:28" s="308" customFormat="1" x14ac:dyDescent="0.2">
      <c r="M432" s="309"/>
      <c r="AB432" s="310"/>
    </row>
    <row r="433" spans="13:28" s="308" customFormat="1" x14ac:dyDescent="0.2">
      <c r="M433" s="309"/>
      <c r="AB433" s="310"/>
    </row>
    <row r="434" spans="13:28" s="308" customFormat="1" x14ac:dyDescent="0.2">
      <c r="M434" s="309"/>
      <c r="AB434" s="310"/>
    </row>
    <row r="435" spans="13:28" s="308" customFormat="1" x14ac:dyDescent="0.2">
      <c r="M435" s="309"/>
      <c r="AB435" s="310"/>
    </row>
    <row r="436" spans="13:28" s="308" customFormat="1" x14ac:dyDescent="0.2">
      <c r="M436" s="309"/>
      <c r="AB436" s="310"/>
    </row>
    <row r="437" spans="13:28" s="308" customFormat="1" x14ac:dyDescent="0.2">
      <c r="M437" s="309"/>
      <c r="AB437" s="310"/>
    </row>
    <row r="438" spans="13:28" s="308" customFormat="1" x14ac:dyDescent="0.2">
      <c r="M438" s="309"/>
      <c r="AB438" s="310"/>
    </row>
    <row r="439" spans="13:28" s="308" customFormat="1" x14ac:dyDescent="0.2">
      <c r="M439" s="309"/>
      <c r="AB439" s="310"/>
    </row>
    <row r="440" spans="13:28" s="308" customFormat="1" x14ac:dyDescent="0.2">
      <c r="M440" s="309"/>
      <c r="AB440" s="310"/>
    </row>
    <row r="441" spans="13:28" s="308" customFormat="1" x14ac:dyDescent="0.2">
      <c r="M441" s="309"/>
      <c r="AB441" s="310"/>
    </row>
    <row r="442" spans="13:28" s="308" customFormat="1" x14ac:dyDescent="0.2">
      <c r="M442" s="309"/>
      <c r="AB442" s="310"/>
    </row>
    <row r="443" spans="13:28" s="308" customFormat="1" x14ac:dyDescent="0.2">
      <c r="M443" s="309"/>
      <c r="AB443" s="310"/>
    </row>
    <row r="444" spans="13:28" s="308" customFormat="1" x14ac:dyDescent="0.2">
      <c r="M444" s="309"/>
      <c r="AB444" s="310"/>
    </row>
    <row r="445" spans="13:28" s="308" customFormat="1" x14ac:dyDescent="0.2">
      <c r="M445" s="309"/>
      <c r="AB445" s="310"/>
    </row>
    <row r="446" spans="13:28" s="308" customFormat="1" x14ac:dyDescent="0.2">
      <c r="M446" s="309"/>
      <c r="AB446" s="310"/>
    </row>
    <row r="447" spans="13:28" s="308" customFormat="1" x14ac:dyDescent="0.2">
      <c r="M447" s="309"/>
      <c r="AB447" s="310"/>
    </row>
    <row r="448" spans="13:28" s="308" customFormat="1" x14ac:dyDescent="0.2">
      <c r="M448" s="309"/>
      <c r="AB448" s="310"/>
    </row>
    <row r="449" spans="13:28" s="308" customFormat="1" x14ac:dyDescent="0.2">
      <c r="M449" s="309"/>
      <c r="AB449" s="310"/>
    </row>
    <row r="450" spans="13:28" s="308" customFormat="1" x14ac:dyDescent="0.2">
      <c r="M450" s="309"/>
      <c r="AB450" s="310"/>
    </row>
    <row r="451" spans="13:28" s="308" customFormat="1" x14ac:dyDescent="0.2">
      <c r="M451" s="309"/>
      <c r="AB451" s="310"/>
    </row>
    <row r="452" spans="13:28" s="308" customFormat="1" x14ac:dyDescent="0.2">
      <c r="M452" s="309"/>
      <c r="AB452" s="310"/>
    </row>
    <row r="453" spans="13:28" s="308" customFormat="1" x14ac:dyDescent="0.2">
      <c r="M453" s="309"/>
      <c r="AB453" s="310"/>
    </row>
    <row r="454" spans="13:28" s="308" customFormat="1" x14ac:dyDescent="0.2">
      <c r="M454" s="309"/>
      <c r="AB454" s="310"/>
    </row>
    <row r="455" spans="13:28" s="308" customFormat="1" x14ac:dyDescent="0.2">
      <c r="M455" s="309"/>
      <c r="AB455" s="310"/>
    </row>
    <row r="456" spans="13:28" s="308" customFormat="1" x14ac:dyDescent="0.2">
      <c r="M456" s="309"/>
      <c r="AB456" s="310"/>
    </row>
    <row r="457" spans="13:28" s="308" customFormat="1" x14ac:dyDescent="0.2">
      <c r="M457" s="309"/>
      <c r="AB457" s="310"/>
    </row>
    <row r="458" spans="13:28" s="308" customFormat="1" x14ac:dyDescent="0.2">
      <c r="M458" s="309"/>
      <c r="AB458" s="310"/>
    </row>
    <row r="459" spans="13:28" s="308" customFormat="1" x14ac:dyDescent="0.2">
      <c r="M459" s="309"/>
      <c r="AB459" s="310"/>
    </row>
    <row r="460" spans="13:28" s="308" customFormat="1" x14ac:dyDescent="0.2">
      <c r="M460" s="309"/>
      <c r="AB460" s="310"/>
    </row>
    <row r="461" spans="13:28" s="308" customFormat="1" x14ac:dyDescent="0.2">
      <c r="M461" s="309"/>
      <c r="AB461" s="310"/>
    </row>
    <row r="462" spans="13:28" s="308" customFormat="1" x14ac:dyDescent="0.2">
      <c r="M462" s="309"/>
      <c r="AB462" s="310"/>
    </row>
    <row r="463" spans="13:28" s="308" customFormat="1" x14ac:dyDescent="0.2">
      <c r="M463" s="309"/>
      <c r="AB463" s="310"/>
    </row>
    <row r="464" spans="13:28" s="308" customFormat="1" x14ac:dyDescent="0.2">
      <c r="M464" s="309"/>
      <c r="AB464" s="310"/>
    </row>
    <row r="465" spans="13:28" s="308" customFormat="1" x14ac:dyDescent="0.2">
      <c r="M465" s="309"/>
      <c r="AB465" s="310"/>
    </row>
    <row r="466" spans="13:28" s="308" customFormat="1" x14ac:dyDescent="0.2">
      <c r="M466" s="309"/>
      <c r="AB466" s="310"/>
    </row>
    <row r="467" spans="13:28" s="308" customFormat="1" x14ac:dyDescent="0.2">
      <c r="M467" s="309"/>
      <c r="AB467" s="310"/>
    </row>
    <row r="468" spans="13:28" s="308" customFormat="1" x14ac:dyDescent="0.2">
      <c r="M468" s="309"/>
      <c r="AB468" s="310"/>
    </row>
    <row r="469" spans="13:28" s="308" customFormat="1" x14ac:dyDescent="0.2">
      <c r="M469" s="309"/>
      <c r="AB469" s="310"/>
    </row>
    <row r="470" spans="13:28" s="308" customFormat="1" x14ac:dyDescent="0.2">
      <c r="M470" s="309"/>
      <c r="AB470" s="310"/>
    </row>
    <row r="471" spans="13:28" s="308" customFormat="1" x14ac:dyDescent="0.2">
      <c r="M471" s="309"/>
      <c r="AB471" s="310"/>
    </row>
    <row r="472" spans="13:28" s="308" customFormat="1" x14ac:dyDescent="0.2">
      <c r="M472" s="309"/>
      <c r="AB472" s="310"/>
    </row>
    <row r="473" spans="13:28" s="308" customFormat="1" x14ac:dyDescent="0.2">
      <c r="M473" s="309"/>
      <c r="AB473" s="310"/>
    </row>
    <row r="474" spans="13:28" s="308" customFormat="1" x14ac:dyDescent="0.2">
      <c r="M474" s="309"/>
      <c r="AB474" s="310"/>
    </row>
    <row r="475" spans="13:28" s="308" customFormat="1" x14ac:dyDescent="0.2">
      <c r="M475" s="309"/>
      <c r="AB475" s="310"/>
    </row>
    <row r="476" spans="13:28" s="308" customFormat="1" x14ac:dyDescent="0.2">
      <c r="M476" s="309"/>
      <c r="AB476" s="310"/>
    </row>
    <row r="477" spans="13:28" s="308" customFormat="1" x14ac:dyDescent="0.2">
      <c r="M477" s="309"/>
      <c r="AB477" s="310"/>
    </row>
    <row r="478" spans="13:28" s="308" customFormat="1" x14ac:dyDescent="0.2">
      <c r="M478" s="309"/>
      <c r="AB478" s="310"/>
    </row>
    <row r="479" spans="13:28" s="308" customFormat="1" x14ac:dyDescent="0.2">
      <c r="M479" s="309"/>
      <c r="AB479" s="310"/>
    </row>
    <row r="480" spans="13:28" s="308" customFormat="1" x14ac:dyDescent="0.2">
      <c r="M480" s="309"/>
      <c r="AB480" s="310"/>
    </row>
    <row r="481" spans="13:28" s="308" customFormat="1" x14ac:dyDescent="0.2">
      <c r="M481" s="309"/>
      <c r="AB481" s="310"/>
    </row>
    <row r="482" spans="13:28" s="308" customFormat="1" x14ac:dyDescent="0.2">
      <c r="M482" s="309"/>
      <c r="AB482" s="310"/>
    </row>
    <row r="483" spans="13:28" s="308" customFormat="1" x14ac:dyDescent="0.2">
      <c r="M483" s="309"/>
      <c r="AB483" s="310"/>
    </row>
    <row r="484" spans="13:28" s="308" customFormat="1" x14ac:dyDescent="0.2">
      <c r="M484" s="309"/>
      <c r="AB484" s="310"/>
    </row>
    <row r="485" spans="13:28" s="308" customFormat="1" x14ac:dyDescent="0.2">
      <c r="M485" s="309"/>
      <c r="AB485" s="310"/>
    </row>
    <row r="486" spans="13:28" s="308" customFormat="1" x14ac:dyDescent="0.2">
      <c r="M486" s="309"/>
      <c r="AB486" s="310"/>
    </row>
    <row r="487" spans="13:28" s="308" customFormat="1" x14ac:dyDescent="0.2">
      <c r="M487" s="309"/>
      <c r="AB487" s="310"/>
    </row>
    <row r="488" spans="13:28" s="308" customFormat="1" x14ac:dyDescent="0.2">
      <c r="M488" s="309"/>
      <c r="AB488" s="310"/>
    </row>
    <row r="489" spans="13:28" s="308" customFormat="1" x14ac:dyDescent="0.2">
      <c r="M489" s="309"/>
      <c r="AB489" s="310"/>
    </row>
    <row r="490" spans="13:28" s="308" customFormat="1" x14ac:dyDescent="0.2">
      <c r="M490" s="309"/>
      <c r="AB490" s="310"/>
    </row>
    <row r="491" spans="13:28" s="308" customFormat="1" x14ac:dyDescent="0.2">
      <c r="M491" s="309"/>
      <c r="AB491" s="310"/>
    </row>
    <row r="492" spans="13:28" s="308" customFormat="1" x14ac:dyDescent="0.2">
      <c r="M492" s="309"/>
      <c r="AB492" s="310"/>
    </row>
    <row r="493" spans="13:28" s="308" customFormat="1" x14ac:dyDescent="0.2">
      <c r="M493" s="309"/>
      <c r="AB493" s="310"/>
    </row>
    <row r="494" spans="13:28" s="308" customFormat="1" x14ac:dyDescent="0.2">
      <c r="M494" s="309"/>
      <c r="AB494" s="310"/>
    </row>
    <row r="495" spans="13:28" s="308" customFormat="1" x14ac:dyDescent="0.2">
      <c r="M495" s="309"/>
      <c r="AB495" s="310"/>
    </row>
    <row r="496" spans="13:28" s="308" customFormat="1" x14ac:dyDescent="0.2">
      <c r="M496" s="309"/>
      <c r="AB496" s="310"/>
    </row>
    <row r="497" spans="13:28" s="308" customFormat="1" x14ac:dyDescent="0.2">
      <c r="M497" s="309"/>
      <c r="AB497" s="310"/>
    </row>
    <row r="498" spans="13:28" s="308" customFormat="1" x14ac:dyDescent="0.2">
      <c r="M498" s="309"/>
      <c r="AB498" s="310"/>
    </row>
    <row r="499" spans="13:28" s="308" customFormat="1" x14ac:dyDescent="0.2">
      <c r="M499" s="309"/>
      <c r="AB499" s="310"/>
    </row>
    <row r="500" spans="13:28" s="308" customFormat="1" x14ac:dyDescent="0.2">
      <c r="M500" s="309"/>
      <c r="AB500" s="310"/>
    </row>
    <row r="501" spans="13:28" s="308" customFormat="1" x14ac:dyDescent="0.2">
      <c r="M501" s="309"/>
      <c r="AB501" s="310"/>
    </row>
    <row r="502" spans="13:28" s="308" customFormat="1" x14ac:dyDescent="0.2">
      <c r="M502" s="309"/>
      <c r="AB502" s="310"/>
    </row>
    <row r="503" spans="13:28" s="308" customFormat="1" x14ac:dyDescent="0.2">
      <c r="M503" s="309"/>
      <c r="AB503" s="310"/>
    </row>
    <row r="504" spans="13:28" s="308" customFormat="1" x14ac:dyDescent="0.2">
      <c r="M504" s="309"/>
      <c r="AB504" s="310"/>
    </row>
    <row r="505" spans="13:28" s="308" customFormat="1" x14ac:dyDescent="0.2">
      <c r="M505" s="309"/>
      <c r="AB505" s="310"/>
    </row>
    <row r="506" spans="13:28" s="308" customFormat="1" x14ac:dyDescent="0.2">
      <c r="M506" s="309"/>
      <c r="AB506" s="310"/>
    </row>
    <row r="507" spans="13:28" s="308" customFormat="1" x14ac:dyDescent="0.2">
      <c r="M507" s="309"/>
      <c r="AB507" s="310"/>
    </row>
    <row r="508" spans="13:28" s="308" customFormat="1" x14ac:dyDescent="0.2">
      <c r="M508" s="309"/>
      <c r="AB508" s="310"/>
    </row>
    <row r="509" spans="13:28" s="308" customFormat="1" x14ac:dyDescent="0.2">
      <c r="M509" s="309"/>
      <c r="AB509" s="310"/>
    </row>
    <row r="510" spans="13:28" s="308" customFormat="1" x14ac:dyDescent="0.2">
      <c r="M510" s="309"/>
      <c r="AB510" s="310"/>
    </row>
    <row r="511" spans="13:28" s="308" customFormat="1" x14ac:dyDescent="0.2">
      <c r="M511" s="309"/>
      <c r="AB511" s="310"/>
    </row>
    <row r="512" spans="13:28" s="308" customFormat="1" x14ac:dyDescent="0.2">
      <c r="M512" s="309"/>
      <c r="AB512" s="310"/>
    </row>
    <row r="513" spans="13:28" s="308" customFormat="1" x14ac:dyDescent="0.2">
      <c r="M513" s="309"/>
      <c r="AB513" s="310"/>
    </row>
    <row r="514" spans="13:28" s="308" customFormat="1" x14ac:dyDescent="0.2">
      <c r="M514" s="309"/>
      <c r="AB514" s="310"/>
    </row>
    <row r="515" spans="13:28" s="308" customFormat="1" x14ac:dyDescent="0.2">
      <c r="M515" s="309"/>
      <c r="AB515" s="310"/>
    </row>
    <row r="516" spans="13:28" s="308" customFormat="1" x14ac:dyDescent="0.2">
      <c r="M516" s="309"/>
      <c r="AB516" s="310"/>
    </row>
    <row r="517" spans="13:28" s="308" customFormat="1" x14ac:dyDescent="0.2">
      <c r="M517" s="309"/>
      <c r="AB517" s="310"/>
    </row>
    <row r="518" spans="13:28" s="308" customFormat="1" x14ac:dyDescent="0.2">
      <c r="M518" s="309"/>
      <c r="AB518" s="310"/>
    </row>
    <row r="519" spans="13:28" s="308" customFormat="1" x14ac:dyDescent="0.2">
      <c r="M519" s="309"/>
      <c r="AB519" s="310"/>
    </row>
    <row r="520" spans="13:28" s="308" customFormat="1" x14ac:dyDescent="0.2">
      <c r="M520" s="309"/>
      <c r="AB520" s="310"/>
    </row>
    <row r="521" spans="13:28" s="308" customFormat="1" x14ac:dyDescent="0.2">
      <c r="M521" s="309"/>
      <c r="AB521" s="310"/>
    </row>
    <row r="522" spans="13:28" s="308" customFormat="1" x14ac:dyDescent="0.2">
      <c r="M522" s="309"/>
      <c r="AB522" s="310"/>
    </row>
    <row r="523" spans="13:28" s="308" customFormat="1" x14ac:dyDescent="0.2">
      <c r="M523" s="309"/>
      <c r="AB523" s="310"/>
    </row>
    <row r="524" spans="13:28" s="308" customFormat="1" x14ac:dyDescent="0.2">
      <c r="M524" s="309"/>
      <c r="AB524" s="310"/>
    </row>
    <row r="525" spans="13:28" s="308" customFormat="1" x14ac:dyDescent="0.2">
      <c r="M525" s="309"/>
      <c r="AB525" s="310"/>
    </row>
    <row r="526" spans="13:28" s="308" customFormat="1" x14ac:dyDescent="0.2">
      <c r="M526" s="309"/>
      <c r="AB526" s="310"/>
    </row>
    <row r="527" spans="13:28" s="308" customFormat="1" x14ac:dyDescent="0.2">
      <c r="M527" s="309"/>
      <c r="AB527" s="310"/>
    </row>
    <row r="528" spans="13:28" s="308" customFormat="1" x14ac:dyDescent="0.2">
      <c r="M528" s="309"/>
      <c r="AB528" s="310"/>
    </row>
    <row r="529" spans="13:28" s="308" customFormat="1" x14ac:dyDescent="0.2">
      <c r="M529" s="309"/>
      <c r="AB529" s="310"/>
    </row>
    <row r="530" spans="13:28" s="308" customFormat="1" x14ac:dyDescent="0.2">
      <c r="M530" s="309"/>
      <c r="AB530" s="310"/>
    </row>
    <row r="531" spans="13:28" s="308" customFormat="1" x14ac:dyDescent="0.2">
      <c r="M531" s="309"/>
      <c r="AB531" s="310"/>
    </row>
    <row r="532" spans="13:28" s="308" customFormat="1" x14ac:dyDescent="0.2">
      <c r="M532" s="309"/>
      <c r="AB532" s="310"/>
    </row>
    <row r="533" spans="13:28" s="308" customFormat="1" x14ac:dyDescent="0.2">
      <c r="M533" s="309"/>
      <c r="AB533" s="310"/>
    </row>
    <row r="534" spans="13:28" s="308" customFormat="1" x14ac:dyDescent="0.2">
      <c r="M534" s="309"/>
      <c r="AB534" s="310"/>
    </row>
    <row r="535" spans="13:28" s="308" customFormat="1" x14ac:dyDescent="0.2">
      <c r="M535" s="309"/>
      <c r="AB535" s="310"/>
    </row>
    <row r="536" spans="13:28" s="308" customFormat="1" x14ac:dyDescent="0.2">
      <c r="M536" s="309"/>
      <c r="AB536" s="310"/>
    </row>
    <row r="537" spans="13:28" s="308" customFormat="1" x14ac:dyDescent="0.2">
      <c r="M537" s="309"/>
      <c r="AB537" s="310"/>
    </row>
    <row r="538" spans="13:28" s="308" customFormat="1" x14ac:dyDescent="0.2">
      <c r="M538" s="309"/>
      <c r="AB538" s="310"/>
    </row>
    <row r="539" spans="13:28" s="308" customFormat="1" x14ac:dyDescent="0.2">
      <c r="M539" s="309"/>
      <c r="AB539" s="310"/>
    </row>
    <row r="540" spans="13:28" s="308" customFormat="1" x14ac:dyDescent="0.2">
      <c r="M540" s="309"/>
      <c r="AB540" s="310"/>
    </row>
    <row r="541" spans="13:28" s="308" customFormat="1" x14ac:dyDescent="0.2">
      <c r="M541" s="309"/>
      <c r="AB541" s="310"/>
    </row>
    <row r="542" spans="13:28" s="308" customFormat="1" x14ac:dyDescent="0.2">
      <c r="M542" s="309"/>
      <c r="AB542" s="310"/>
    </row>
    <row r="543" spans="13:28" s="308" customFormat="1" x14ac:dyDescent="0.2">
      <c r="M543" s="309"/>
      <c r="AB543" s="310"/>
    </row>
    <row r="544" spans="13:28" s="308" customFormat="1" x14ac:dyDescent="0.2">
      <c r="M544" s="309"/>
      <c r="AB544" s="310"/>
    </row>
    <row r="545" spans="13:28" s="308" customFormat="1" x14ac:dyDescent="0.2">
      <c r="M545" s="309"/>
      <c r="AB545" s="310"/>
    </row>
    <row r="546" spans="13:28" s="308" customFormat="1" x14ac:dyDescent="0.2">
      <c r="M546" s="309"/>
      <c r="AB546" s="310"/>
    </row>
    <row r="547" spans="13:28" s="308" customFormat="1" x14ac:dyDescent="0.2">
      <c r="M547" s="309"/>
      <c r="AB547" s="310"/>
    </row>
    <row r="548" spans="13:28" s="308" customFormat="1" x14ac:dyDescent="0.2">
      <c r="M548" s="309"/>
      <c r="AB548" s="310"/>
    </row>
    <row r="549" spans="13:28" s="308" customFormat="1" x14ac:dyDescent="0.2">
      <c r="M549" s="309"/>
      <c r="AB549" s="310"/>
    </row>
    <row r="550" spans="13:28" s="308" customFormat="1" x14ac:dyDescent="0.2">
      <c r="M550" s="309"/>
      <c r="AB550" s="310"/>
    </row>
    <row r="551" spans="13:28" s="308" customFormat="1" x14ac:dyDescent="0.2">
      <c r="M551" s="309"/>
      <c r="AB551" s="310"/>
    </row>
    <row r="552" spans="13:28" s="308" customFormat="1" x14ac:dyDescent="0.2">
      <c r="M552" s="309"/>
      <c r="AB552" s="310"/>
    </row>
    <row r="553" spans="13:28" s="308" customFormat="1" x14ac:dyDescent="0.2">
      <c r="M553" s="309"/>
      <c r="AB553" s="310"/>
    </row>
    <row r="554" spans="13:28" s="308" customFormat="1" x14ac:dyDescent="0.2">
      <c r="M554" s="309"/>
      <c r="AB554" s="310"/>
    </row>
    <row r="555" spans="13:28" s="308" customFormat="1" x14ac:dyDescent="0.2">
      <c r="M555" s="309"/>
      <c r="AB555" s="310"/>
    </row>
    <row r="556" spans="13:28" s="308" customFormat="1" x14ac:dyDescent="0.2">
      <c r="M556" s="309"/>
      <c r="AB556" s="310"/>
    </row>
    <row r="557" spans="13:28" s="308" customFormat="1" x14ac:dyDescent="0.2">
      <c r="M557" s="309"/>
      <c r="AB557" s="310"/>
    </row>
    <row r="558" spans="13:28" s="308" customFormat="1" x14ac:dyDescent="0.2">
      <c r="M558" s="309"/>
      <c r="AB558" s="310"/>
    </row>
    <row r="559" spans="13:28" s="308" customFormat="1" x14ac:dyDescent="0.2">
      <c r="M559" s="309"/>
      <c r="AB559" s="310"/>
    </row>
    <row r="560" spans="13:28" s="308" customFormat="1" x14ac:dyDescent="0.2">
      <c r="M560" s="309"/>
      <c r="AB560" s="310"/>
    </row>
    <row r="561" spans="13:28" s="308" customFormat="1" x14ac:dyDescent="0.2">
      <c r="M561" s="309"/>
      <c r="AB561" s="310"/>
    </row>
    <row r="562" spans="13:28" s="308" customFormat="1" x14ac:dyDescent="0.2">
      <c r="M562" s="309"/>
      <c r="AB562" s="310"/>
    </row>
    <row r="563" spans="13:28" s="308" customFormat="1" x14ac:dyDescent="0.2">
      <c r="M563" s="309"/>
      <c r="AB563" s="310"/>
    </row>
    <row r="564" spans="13:28" s="308" customFormat="1" x14ac:dyDescent="0.2">
      <c r="M564" s="309"/>
      <c r="AB564" s="310"/>
    </row>
    <row r="565" spans="13:28" s="308" customFormat="1" x14ac:dyDescent="0.2">
      <c r="M565" s="309"/>
      <c r="AB565" s="310"/>
    </row>
    <row r="566" spans="13:28" s="308" customFormat="1" x14ac:dyDescent="0.2">
      <c r="M566" s="309"/>
      <c r="AB566" s="310"/>
    </row>
    <row r="567" spans="13:28" s="308" customFormat="1" x14ac:dyDescent="0.2">
      <c r="M567" s="309"/>
      <c r="AB567" s="310"/>
    </row>
    <row r="568" spans="13:28" s="308" customFormat="1" x14ac:dyDescent="0.2">
      <c r="M568" s="309"/>
      <c r="AB568" s="310"/>
    </row>
    <row r="569" spans="13:28" s="308" customFormat="1" x14ac:dyDescent="0.2">
      <c r="M569" s="309"/>
      <c r="AB569" s="310"/>
    </row>
    <row r="570" spans="13:28" s="308" customFormat="1" x14ac:dyDescent="0.2">
      <c r="M570" s="309"/>
      <c r="AB570" s="310"/>
    </row>
    <row r="571" spans="13:28" s="308" customFormat="1" x14ac:dyDescent="0.2">
      <c r="M571" s="309"/>
      <c r="AB571" s="310"/>
    </row>
    <row r="572" spans="13:28" s="308" customFormat="1" x14ac:dyDescent="0.2">
      <c r="M572" s="309"/>
      <c r="AB572" s="310"/>
    </row>
    <row r="573" spans="13:28" s="308" customFormat="1" x14ac:dyDescent="0.2">
      <c r="M573" s="309"/>
      <c r="AB573" s="310"/>
    </row>
    <row r="574" spans="13:28" s="308" customFormat="1" x14ac:dyDescent="0.2">
      <c r="M574" s="309"/>
      <c r="AB574" s="310"/>
    </row>
    <row r="575" spans="13:28" s="308" customFormat="1" x14ac:dyDescent="0.2">
      <c r="M575" s="309"/>
      <c r="AB575" s="310"/>
    </row>
    <row r="576" spans="13:28" s="308" customFormat="1" x14ac:dyDescent="0.2">
      <c r="M576" s="309"/>
      <c r="AB576" s="310"/>
    </row>
    <row r="577" spans="13:28" s="308" customFormat="1" x14ac:dyDescent="0.2">
      <c r="M577" s="309"/>
      <c r="AB577" s="310"/>
    </row>
    <row r="578" spans="13:28" s="308" customFormat="1" x14ac:dyDescent="0.2">
      <c r="M578" s="309"/>
      <c r="AB578" s="310"/>
    </row>
    <row r="579" spans="13:28" s="308" customFormat="1" x14ac:dyDescent="0.2">
      <c r="M579" s="309"/>
      <c r="AB579" s="310"/>
    </row>
    <row r="580" spans="13:28" s="308" customFormat="1" x14ac:dyDescent="0.2">
      <c r="M580" s="309"/>
      <c r="AB580" s="310"/>
    </row>
    <row r="581" spans="13:28" s="308" customFormat="1" x14ac:dyDescent="0.2">
      <c r="M581" s="309"/>
      <c r="AB581" s="310"/>
    </row>
    <row r="582" spans="13:28" s="308" customFormat="1" x14ac:dyDescent="0.2">
      <c r="M582" s="309"/>
      <c r="AB582" s="310"/>
    </row>
    <row r="583" spans="13:28" s="308" customFormat="1" x14ac:dyDescent="0.2">
      <c r="M583" s="309"/>
      <c r="AB583" s="310"/>
    </row>
    <row r="584" spans="13:28" s="308" customFormat="1" x14ac:dyDescent="0.2">
      <c r="M584" s="309"/>
      <c r="AB584" s="310"/>
    </row>
    <row r="585" spans="13:28" s="308" customFormat="1" x14ac:dyDescent="0.2">
      <c r="M585" s="309"/>
      <c r="AB585" s="310"/>
    </row>
    <row r="586" spans="13:28" s="308" customFormat="1" x14ac:dyDescent="0.2">
      <c r="M586" s="309"/>
      <c r="AB586" s="310"/>
    </row>
    <row r="587" spans="13:28" s="308" customFormat="1" x14ac:dyDescent="0.2">
      <c r="M587" s="309"/>
      <c r="AB587" s="310"/>
    </row>
    <row r="588" spans="13:28" s="308" customFormat="1" x14ac:dyDescent="0.2">
      <c r="M588" s="309"/>
      <c r="AB588" s="310"/>
    </row>
    <row r="589" spans="13:28" s="308" customFormat="1" x14ac:dyDescent="0.2">
      <c r="M589" s="309"/>
      <c r="AB589" s="310"/>
    </row>
    <row r="590" spans="13:28" s="308" customFormat="1" x14ac:dyDescent="0.2">
      <c r="M590" s="309"/>
      <c r="AB590" s="310"/>
    </row>
    <row r="591" spans="13:28" s="308" customFormat="1" x14ac:dyDescent="0.2">
      <c r="M591" s="309"/>
      <c r="AB591" s="310"/>
    </row>
    <row r="592" spans="13:28" s="308" customFormat="1" x14ac:dyDescent="0.2">
      <c r="M592" s="309"/>
      <c r="AB592" s="310"/>
    </row>
    <row r="593" spans="13:28" s="308" customFormat="1" x14ac:dyDescent="0.2">
      <c r="M593" s="309"/>
      <c r="AB593" s="310"/>
    </row>
    <row r="594" spans="13:28" s="308" customFormat="1" x14ac:dyDescent="0.2">
      <c r="M594" s="309"/>
      <c r="AB594" s="310"/>
    </row>
    <row r="595" spans="13:28" s="308" customFormat="1" x14ac:dyDescent="0.2">
      <c r="M595" s="309"/>
      <c r="AB595" s="310"/>
    </row>
    <row r="596" spans="13:28" s="308" customFormat="1" x14ac:dyDescent="0.2">
      <c r="M596" s="309"/>
      <c r="AB596" s="310"/>
    </row>
    <row r="597" spans="13:28" s="308" customFormat="1" x14ac:dyDescent="0.2">
      <c r="M597" s="309"/>
      <c r="AB597" s="310"/>
    </row>
    <row r="598" spans="13:28" s="308" customFormat="1" x14ac:dyDescent="0.2">
      <c r="M598" s="309"/>
      <c r="AB598" s="310"/>
    </row>
    <row r="599" spans="13:28" s="308" customFormat="1" x14ac:dyDescent="0.2">
      <c r="M599" s="309"/>
      <c r="AB599" s="310"/>
    </row>
    <row r="600" spans="13:28" s="308" customFormat="1" x14ac:dyDescent="0.2">
      <c r="M600" s="309"/>
      <c r="AB600" s="310"/>
    </row>
    <row r="601" spans="13:28" s="308" customFormat="1" x14ac:dyDescent="0.2">
      <c r="M601" s="309"/>
      <c r="AB601" s="310"/>
    </row>
    <row r="602" spans="13:28" s="308" customFormat="1" x14ac:dyDescent="0.2">
      <c r="M602" s="309"/>
      <c r="AB602" s="310"/>
    </row>
    <row r="603" spans="13:28" s="308" customFormat="1" x14ac:dyDescent="0.2">
      <c r="M603" s="309"/>
      <c r="AB603" s="310"/>
    </row>
    <row r="604" spans="13:28" s="308" customFormat="1" x14ac:dyDescent="0.2">
      <c r="M604" s="309"/>
      <c r="AB604" s="310"/>
    </row>
    <row r="605" spans="13:28" s="308" customFormat="1" x14ac:dyDescent="0.2">
      <c r="M605" s="309"/>
      <c r="AB605" s="310"/>
    </row>
    <row r="606" spans="13:28" s="308" customFormat="1" x14ac:dyDescent="0.2">
      <c r="M606" s="309"/>
      <c r="AB606" s="310"/>
    </row>
    <row r="607" spans="13:28" s="308" customFormat="1" x14ac:dyDescent="0.2">
      <c r="M607" s="309"/>
      <c r="AB607" s="310"/>
    </row>
    <row r="608" spans="13:28" s="308" customFormat="1" x14ac:dyDescent="0.2">
      <c r="M608" s="309"/>
      <c r="AB608" s="310"/>
    </row>
    <row r="609" spans="13:28" s="308" customFormat="1" x14ac:dyDescent="0.2">
      <c r="M609" s="309"/>
      <c r="AB609" s="310"/>
    </row>
    <row r="610" spans="13:28" s="308" customFormat="1" x14ac:dyDescent="0.2">
      <c r="M610" s="309"/>
      <c r="AB610" s="310"/>
    </row>
    <row r="611" spans="13:28" s="308" customFormat="1" x14ac:dyDescent="0.2">
      <c r="M611" s="309"/>
      <c r="AB611" s="310"/>
    </row>
    <row r="612" spans="13:28" s="308" customFormat="1" x14ac:dyDescent="0.2">
      <c r="M612" s="309"/>
      <c r="AB612" s="310"/>
    </row>
    <row r="613" spans="13:28" s="308" customFormat="1" x14ac:dyDescent="0.2">
      <c r="M613" s="309"/>
      <c r="AB613" s="310"/>
    </row>
    <row r="614" spans="13:28" s="308" customFormat="1" x14ac:dyDescent="0.2">
      <c r="M614" s="309"/>
      <c r="AB614" s="310"/>
    </row>
    <row r="615" spans="13:28" s="308" customFormat="1" x14ac:dyDescent="0.2">
      <c r="M615" s="309"/>
      <c r="AB615" s="310"/>
    </row>
    <row r="616" spans="13:28" s="308" customFormat="1" x14ac:dyDescent="0.2">
      <c r="M616" s="309"/>
      <c r="AB616" s="310"/>
    </row>
    <row r="617" spans="13:28" s="308" customFormat="1" x14ac:dyDescent="0.2">
      <c r="M617" s="309"/>
      <c r="AB617" s="310"/>
    </row>
    <row r="618" spans="13:28" s="308" customFormat="1" x14ac:dyDescent="0.2">
      <c r="M618" s="309"/>
      <c r="AB618" s="310"/>
    </row>
    <row r="619" spans="13:28" s="308" customFormat="1" x14ac:dyDescent="0.2">
      <c r="M619" s="309"/>
      <c r="AB619" s="310"/>
    </row>
    <row r="620" spans="13:28" s="308" customFormat="1" x14ac:dyDescent="0.2">
      <c r="M620" s="309"/>
      <c r="AB620" s="310"/>
    </row>
    <row r="621" spans="13:28" s="308" customFormat="1" x14ac:dyDescent="0.2">
      <c r="M621" s="309"/>
      <c r="AB621" s="310"/>
    </row>
    <row r="622" spans="13:28" s="308" customFormat="1" x14ac:dyDescent="0.2">
      <c r="M622" s="309"/>
      <c r="AB622" s="310"/>
    </row>
    <row r="623" spans="13:28" s="308" customFormat="1" x14ac:dyDescent="0.2">
      <c r="M623" s="309"/>
      <c r="AB623" s="310"/>
    </row>
    <row r="624" spans="13:28" s="308" customFormat="1" x14ac:dyDescent="0.2">
      <c r="M624" s="309"/>
      <c r="AB624" s="310"/>
    </row>
    <row r="625" spans="13:28" s="308" customFormat="1" x14ac:dyDescent="0.2">
      <c r="M625" s="309"/>
      <c r="AB625" s="310"/>
    </row>
    <row r="626" spans="13:28" s="308" customFormat="1" x14ac:dyDescent="0.2">
      <c r="M626" s="309"/>
      <c r="AB626" s="310"/>
    </row>
    <row r="627" spans="13:28" s="308" customFormat="1" x14ac:dyDescent="0.2">
      <c r="M627" s="309"/>
      <c r="AB627" s="310"/>
    </row>
    <row r="628" spans="13:28" s="308" customFormat="1" x14ac:dyDescent="0.2">
      <c r="M628" s="309"/>
      <c r="AB628" s="310"/>
    </row>
    <row r="629" spans="13:28" s="308" customFormat="1" x14ac:dyDescent="0.2">
      <c r="M629" s="309"/>
      <c r="AB629" s="310"/>
    </row>
    <row r="630" spans="13:28" s="308" customFormat="1" x14ac:dyDescent="0.2">
      <c r="M630" s="309"/>
      <c r="AB630" s="310"/>
    </row>
    <row r="631" spans="13:28" s="308" customFormat="1" x14ac:dyDescent="0.2">
      <c r="M631" s="309"/>
      <c r="AB631" s="310"/>
    </row>
    <row r="632" spans="13:28" s="308" customFormat="1" x14ac:dyDescent="0.2">
      <c r="M632" s="309"/>
      <c r="AB632" s="310"/>
    </row>
    <row r="633" spans="13:28" s="308" customFormat="1" x14ac:dyDescent="0.2">
      <c r="M633" s="309"/>
      <c r="AB633" s="310"/>
    </row>
    <row r="634" spans="13:28" s="308" customFormat="1" x14ac:dyDescent="0.2">
      <c r="M634" s="309"/>
      <c r="AB634" s="310"/>
    </row>
    <row r="635" spans="13:28" s="308" customFormat="1" x14ac:dyDescent="0.2">
      <c r="M635" s="309"/>
      <c r="AB635" s="310"/>
    </row>
    <row r="636" spans="13:28" s="308" customFormat="1" x14ac:dyDescent="0.2">
      <c r="M636" s="309"/>
      <c r="AB636" s="310"/>
    </row>
    <row r="637" spans="13:28" s="308" customFormat="1" x14ac:dyDescent="0.2">
      <c r="M637" s="309"/>
      <c r="AB637" s="310"/>
    </row>
    <row r="638" spans="13:28" s="308" customFormat="1" x14ac:dyDescent="0.2">
      <c r="M638" s="309"/>
      <c r="AB638" s="310"/>
    </row>
    <row r="639" spans="13:28" s="308" customFormat="1" x14ac:dyDescent="0.2">
      <c r="M639" s="309"/>
      <c r="AB639" s="310"/>
    </row>
    <row r="640" spans="13:28" s="308" customFormat="1" x14ac:dyDescent="0.2">
      <c r="M640" s="309"/>
      <c r="AB640" s="310"/>
    </row>
    <row r="641" spans="13:28" s="308" customFormat="1" x14ac:dyDescent="0.2">
      <c r="M641" s="309"/>
      <c r="AB641" s="310"/>
    </row>
    <row r="642" spans="13:28" s="308" customFormat="1" x14ac:dyDescent="0.2">
      <c r="M642" s="309"/>
      <c r="AB642" s="310"/>
    </row>
    <row r="643" spans="13:28" s="308" customFormat="1" x14ac:dyDescent="0.2">
      <c r="M643" s="309"/>
      <c r="AB643" s="310"/>
    </row>
    <row r="644" spans="13:28" s="308" customFormat="1" x14ac:dyDescent="0.2">
      <c r="M644" s="309"/>
      <c r="AB644" s="310"/>
    </row>
    <row r="645" spans="13:28" s="308" customFormat="1" x14ac:dyDescent="0.2">
      <c r="M645" s="309"/>
      <c r="AB645" s="310"/>
    </row>
    <row r="646" spans="13:28" s="308" customFormat="1" x14ac:dyDescent="0.2">
      <c r="M646" s="309"/>
      <c r="AB646" s="310"/>
    </row>
    <row r="647" spans="13:28" s="308" customFormat="1" x14ac:dyDescent="0.2">
      <c r="M647" s="309"/>
      <c r="AB647" s="310"/>
    </row>
    <row r="648" spans="13:28" s="308" customFormat="1" x14ac:dyDescent="0.2">
      <c r="M648" s="309"/>
      <c r="AB648" s="310"/>
    </row>
    <row r="649" spans="13:28" s="308" customFormat="1" x14ac:dyDescent="0.2">
      <c r="M649" s="309"/>
      <c r="AB649" s="310"/>
    </row>
    <row r="650" spans="13:28" s="308" customFormat="1" x14ac:dyDescent="0.2">
      <c r="M650" s="309"/>
      <c r="AB650" s="310"/>
    </row>
    <row r="651" spans="13:28" s="308" customFormat="1" x14ac:dyDescent="0.2">
      <c r="M651" s="309"/>
      <c r="AB651" s="310"/>
    </row>
    <row r="652" spans="13:28" s="308" customFormat="1" x14ac:dyDescent="0.2">
      <c r="M652" s="309"/>
      <c r="AB652" s="310"/>
    </row>
    <row r="653" spans="13:28" s="308" customFormat="1" x14ac:dyDescent="0.2">
      <c r="M653" s="309"/>
      <c r="AB653" s="310"/>
    </row>
    <row r="654" spans="13:28" s="308" customFormat="1" x14ac:dyDescent="0.2">
      <c r="M654" s="309"/>
      <c r="AB654" s="310"/>
    </row>
    <row r="655" spans="13:28" s="308" customFormat="1" x14ac:dyDescent="0.2">
      <c r="M655" s="309"/>
      <c r="AB655" s="310"/>
    </row>
    <row r="656" spans="13:28" s="308" customFormat="1" x14ac:dyDescent="0.2">
      <c r="M656" s="309"/>
      <c r="AB656" s="310"/>
    </row>
    <row r="657" spans="13:28" s="308" customFormat="1" x14ac:dyDescent="0.2">
      <c r="M657" s="309"/>
      <c r="AB657" s="310"/>
    </row>
    <row r="658" spans="13:28" s="308" customFormat="1" x14ac:dyDescent="0.2">
      <c r="M658" s="309"/>
      <c r="AB658" s="310"/>
    </row>
    <row r="659" spans="13:28" s="308" customFormat="1" x14ac:dyDescent="0.2">
      <c r="M659" s="309"/>
      <c r="AB659" s="310"/>
    </row>
    <row r="660" spans="13:28" s="308" customFormat="1" x14ac:dyDescent="0.2">
      <c r="M660" s="309"/>
      <c r="AB660" s="310"/>
    </row>
    <row r="661" spans="13:28" s="308" customFormat="1" x14ac:dyDescent="0.2">
      <c r="M661" s="309"/>
      <c r="AB661" s="310"/>
    </row>
    <row r="662" spans="13:28" s="308" customFormat="1" x14ac:dyDescent="0.2">
      <c r="M662" s="309"/>
      <c r="AB662" s="310"/>
    </row>
    <row r="663" spans="13:28" s="308" customFormat="1" x14ac:dyDescent="0.2">
      <c r="M663" s="309"/>
      <c r="AB663" s="310"/>
    </row>
    <row r="664" spans="13:28" s="308" customFormat="1" x14ac:dyDescent="0.2">
      <c r="M664" s="309"/>
      <c r="AB664" s="310"/>
    </row>
    <row r="665" spans="13:28" s="308" customFormat="1" x14ac:dyDescent="0.2">
      <c r="M665" s="309"/>
      <c r="AB665" s="310"/>
    </row>
    <row r="666" spans="13:28" s="308" customFormat="1" x14ac:dyDescent="0.2">
      <c r="M666" s="309"/>
      <c r="AB666" s="310"/>
    </row>
    <row r="667" spans="13:28" s="308" customFormat="1" x14ac:dyDescent="0.2">
      <c r="M667" s="309"/>
      <c r="AB667" s="310"/>
    </row>
    <row r="668" spans="13:28" s="308" customFormat="1" x14ac:dyDescent="0.2">
      <c r="M668" s="309"/>
      <c r="AB668" s="310"/>
    </row>
    <row r="669" spans="13:28" s="308" customFormat="1" x14ac:dyDescent="0.2">
      <c r="M669" s="309"/>
      <c r="AB669" s="310"/>
    </row>
    <row r="670" spans="13:28" s="308" customFormat="1" x14ac:dyDescent="0.2">
      <c r="M670" s="309"/>
      <c r="AB670" s="310"/>
    </row>
    <row r="671" spans="13:28" s="308" customFormat="1" x14ac:dyDescent="0.2">
      <c r="M671" s="309"/>
      <c r="AB671" s="310"/>
    </row>
    <row r="672" spans="13:28" s="308" customFormat="1" x14ac:dyDescent="0.2">
      <c r="M672" s="309"/>
      <c r="AB672" s="310"/>
    </row>
    <row r="673" spans="13:28" s="308" customFormat="1" x14ac:dyDescent="0.2">
      <c r="M673" s="309"/>
      <c r="AB673" s="310"/>
    </row>
    <row r="674" spans="13:28" s="308" customFormat="1" x14ac:dyDescent="0.2">
      <c r="M674" s="309"/>
      <c r="AB674" s="310"/>
    </row>
    <row r="675" spans="13:28" s="308" customFormat="1" x14ac:dyDescent="0.2">
      <c r="M675" s="309"/>
      <c r="AB675" s="310"/>
    </row>
    <row r="676" spans="13:28" s="308" customFormat="1" x14ac:dyDescent="0.2">
      <c r="M676" s="309"/>
      <c r="AB676" s="310"/>
    </row>
    <row r="677" spans="13:28" s="308" customFormat="1" x14ac:dyDescent="0.2">
      <c r="M677" s="309"/>
      <c r="AB677" s="310"/>
    </row>
    <row r="678" spans="13:28" s="308" customFormat="1" x14ac:dyDescent="0.2">
      <c r="M678" s="309"/>
      <c r="AB678" s="310"/>
    </row>
    <row r="679" spans="13:28" s="308" customFormat="1" x14ac:dyDescent="0.2">
      <c r="M679" s="309"/>
      <c r="AB679" s="310"/>
    </row>
    <row r="680" spans="13:28" s="308" customFormat="1" x14ac:dyDescent="0.2">
      <c r="M680" s="309"/>
      <c r="AB680" s="310"/>
    </row>
    <row r="681" spans="13:28" s="308" customFormat="1" x14ac:dyDescent="0.2">
      <c r="M681" s="309"/>
      <c r="AB681" s="310"/>
    </row>
    <row r="682" spans="13:28" s="308" customFormat="1" x14ac:dyDescent="0.2">
      <c r="M682" s="309"/>
      <c r="AB682" s="310"/>
    </row>
    <row r="683" spans="13:28" s="308" customFormat="1" x14ac:dyDescent="0.2">
      <c r="M683" s="309"/>
      <c r="AB683" s="310"/>
    </row>
    <row r="684" spans="13:28" s="308" customFormat="1" x14ac:dyDescent="0.2">
      <c r="M684" s="309"/>
      <c r="AB684" s="310"/>
    </row>
    <row r="685" spans="13:28" s="308" customFormat="1" x14ac:dyDescent="0.2">
      <c r="M685" s="309"/>
      <c r="AB685" s="310"/>
    </row>
    <row r="686" spans="13:28" s="308" customFormat="1" x14ac:dyDescent="0.2">
      <c r="M686" s="309"/>
      <c r="AB686" s="310"/>
    </row>
    <row r="687" spans="13:28" s="308" customFormat="1" x14ac:dyDescent="0.2">
      <c r="M687" s="309"/>
      <c r="AB687" s="310"/>
    </row>
    <row r="688" spans="13:28" s="308" customFormat="1" x14ac:dyDescent="0.2">
      <c r="M688" s="309"/>
      <c r="AB688" s="310"/>
    </row>
    <row r="689" spans="13:28" s="308" customFormat="1" x14ac:dyDescent="0.2">
      <c r="M689" s="309"/>
      <c r="AB689" s="310"/>
    </row>
    <row r="690" spans="13:28" s="308" customFormat="1" x14ac:dyDescent="0.2">
      <c r="M690" s="309"/>
      <c r="AB690" s="310"/>
    </row>
    <row r="691" spans="13:28" s="308" customFormat="1" x14ac:dyDescent="0.2">
      <c r="M691" s="309"/>
      <c r="AB691" s="310"/>
    </row>
    <row r="692" spans="13:28" s="308" customFormat="1" x14ac:dyDescent="0.2">
      <c r="M692" s="309"/>
      <c r="AB692" s="310"/>
    </row>
    <row r="693" spans="13:28" s="308" customFormat="1" x14ac:dyDescent="0.2">
      <c r="M693" s="309"/>
      <c r="AB693" s="310"/>
    </row>
    <row r="694" spans="13:28" s="308" customFormat="1" x14ac:dyDescent="0.2">
      <c r="M694" s="309"/>
      <c r="AB694" s="310"/>
    </row>
    <row r="695" spans="13:28" s="308" customFormat="1" x14ac:dyDescent="0.2">
      <c r="M695" s="309"/>
      <c r="AB695" s="310"/>
    </row>
    <row r="696" spans="13:28" s="308" customFormat="1" x14ac:dyDescent="0.2">
      <c r="M696" s="309"/>
      <c r="AB696" s="310"/>
    </row>
    <row r="697" spans="13:28" s="308" customFormat="1" x14ac:dyDescent="0.2">
      <c r="M697" s="309"/>
      <c r="AB697" s="310"/>
    </row>
    <row r="698" spans="13:28" s="308" customFormat="1" x14ac:dyDescent="0.2">
      <c r="M698" s="309"/>
      <c r="AB698" s="310"/>
    </row>
    <row r="699" spans="13:28" s="308" customFormat="1" x14ac:dyDescent="0.2">
      <c r="M699" s="309"/>
      <c r="AB699" s="310"/>
    </row>
    <row r="700" spans="13:28" s="308" customFormat="1" x14ac:dyDescent="0.2">
      <c r="M700" s="309"/>
      <c r="AB700" s="310"/>
    </row>
    <row r="701" spans="13:28" s="308" customFormat="1" x14ac:dyDescent="0.2">
      <c r="M701" s="309"/>
      <c r="AB701" s="310"/>
    </row>
    <row r="702" spans="13:28" s="308" customFormat="1" x14ac:dyDescent="0.2">
      <c r="M702" s="309"/>
      <c r="AB702" s="310"/>
    </row>
    <row r="703" spans="13:28" s="308" customFormat="1" x14ac:dyDescent="0.2">
      <c r="M703" s="309"/>
      <c r="AB703" s="310"/>
    </row>
    <row r="704" spans="13:28" s="308" customFormat="1" x14ac:dyDescent="0.2">
      <c r="M704" s="309"/>
      <c r="AB704" s="310"/>
    </row>
    <row r="705" spans="13:28" s="308" customFormat="1" x14ac:dyDescent="0.2">
      <c r="M705" s="309"/>
      <c r="AB705" s="310"/>
    </row>
    <row r="706" spans="13:28" s="308" customFormat="1" x14ac:dyDescent="0.2">
      <c r="M706" s="309"/>
      <c r="AB706" s="310"/>
    </row>
    <row r="707" spans="13:28" s="308" customFormat="1" x14ac:dyDescent="0.2">
      <c r="M707" s="309"/>
      <c r="AB707" s="310"/>
    </row>
    <row r="708" spans="13:28" s="308" customFormat="1" x14ac:dyDescent="0.2">
      <c r="M708" s="309"/>
      <c r="AB708" s="310"/>
    </row>
    <row r="709" spans="13:28" s="308" customFormat="1" x14ac:dyDescent="0.2">
      <c r="M709" s="309"/>
      <c r="AB709" s="310"/>
    </row>
    <row r="710" spans="13:28" s="308" customFormat="1" x14ac:dyDescent="0.2">
      <c r="M710" s="309"/>
      <c r="AB710" s="310"/>
    </row>
    <row r="711" spans="13:28" s="308" customFormat="1" x14ac:dyDescent="0.2">
      <c r="M711" s="309"/>
      <c r="AB711" s="310"/>
    </row>
    <row r="712" spans="13:28" s="308" customFormat="1" x14ac:dyDescent="0.2">
      <c r="M712" s="309"/>
      <c r="AB712" s="310"/>
    </row>
    <row r="713" spans="13:28" s="308" customFormat="1" x14ac:dyDescent="0.2">
      <c r="M713" s="309"/>
      <c r="AB713" s="310"/>
    </row>
    <row r="714" spans="13:28" s="308" customFormat="1" x14ac:dyDescent="0.2">
      <c r="M714" s="309"/>
      <c r="AB714" s="310"/>
    </row>
    <row r="715" spans="13:28" s="308" customFormat="1" x14ac:dyDescent="0.2">
      <c r="M715" s="309"/>
      <c r="AB715" s="310"/>
    </row>
    <row r="716" spans="13:28" s="308" customFormat="1" x14ac:dyDescent="0.2">
      <c r="M716" s="309"/>
      <c r="AB716" s="310"/>
    </row>
    <row r="717" spans="13:28" s="308" customFormat="1" x14ac:dyDescent="0.2">
      <c r="M717" s="309"/>
      <c r="AB717" s="310"/>
    </row>
    <row r="718" spans="13:28" s="308" customFormat="1" x14ac:dyDescent="0.2">
      <c r="M718" s="309"/>
      <c r="AB718" s="310"/>
    </row>
    <row r="719" spans="13:28" s="308" customFormat="1" x14ac:dyDescent="0.2">
      <c r="M719" s="309"/>
      <c r="AB719" s="310"/>
    </row>
    <row r="720" spans="13:28" s="308" customFormat="1" x14ac:dyDescent="0.2">
      <c r="M720" s="309"/>
      <c r="AB720" s="310"/>
    </row>
    <row r="721" spans="13:28" s="308" customFormat="1" x14ac:dyDescent="0.2">
      <c r="M721" s="309"/>
      <c r="AB721" s="310"/>
    </row>
    <row r="722" spans="13:28" s="308" customFormat="1" x14ac:dyDescent="0.2">
      <c r="M722" s="309"/>
      <c r="AB722" s="310"/>
    </row>
    <row r="723" spans="13:28" s="308" customFormat="1" x14ac:dyDescent="0.2">
      <c r="M723" s="309"/>
      <c r="AB723" s="310"/>
    </row>
    <row r="724" spans="13:28" s="308" customFormat="1" x14ac:dyDescent="0.2">
      <c r="M724" s="309"/>
      <c r="AB724" s="310"/>
    </row>
    <row r="725" spans="13:28" s="308" customFormat="1" x14ac:dyDescent="0.2">
      <c r="M725" s="309"/>
      <c r="AB725" s="310"/>
    </row>
    <row r="726" spans="13:28" s="308" customFormat="1" x14ac:dyDescent="0.2">
      <c r="M726" s="309"/>
      <c r="AB726" s="310"/>
    </row>
    <row r="727" spans="13:28" s="308" customFormat="1" x14ac:dyDescent="0.2">
      <c r="M727" s="309"/>
      <c r="AB727" s="310"/>
    </row>
    <row r="728" spans="13:28" s="308" customFormat="1" x14ac:dyDescent="0.2">
      <c r="M728" s="309"/>
      <c r="AB728" s="310"/>
    </row>
    <row r="729" spans="13:28" s="308" customFormat="1" x14ac:dyDescent="0.2">
      <c r="M729" s="309"/>
      <c r="AB729" s="310"/>
    </row>
    <row r="730" spans="13:28" s="308" customFormat="1" x14ac:dyDescent="0.2">
      <c r="M730" s="309"/>
      <c r="AB730" s="310"/>
    </row>
    <row r="731" spans="13:28" s="308" customFormat="1" x14ac:dyDescent="0.2">
      <c r="M731" s="309"/>
      <c r="AB731" s="310"/>
    </row>
    <row r="732" spans="13:28" s="308" customFormat="1" x14ac:dyDescent="0.2">
      <c r="M732" s="309"/>
      <c r="AB732" s="310"/>
    </row>
    <row r="733" spans="13:28" s="308" customFormat="1" x14ac:dyDescent="0.2">
      <c r="M733" s="309"/>
      <c r="AB733" s="310"/>
    </row>
    <row r="734" spans="13:28" s="308" customFormat="1" x14ac:dyDescent="0.2">
      <c r="M734" s="309"/>
      <c r="AB734" s="310"/>
    </row>
    <row r="735" spans="13:28" s="308" customFormat="1" x14ac:dyDescent="0.2">
      <c r="M735" s="309"/>
      <c r="AB735" s="310"/>
    </row>
    <row r="736" spans="13:28" s="308" customFormat="1" x14ac:dyDescent="0.2">
      <c r="M736" s="309"/>
      <c r="AB736" s="310"/>
    </row>
    <row r="737" spans="13:28" s="308" customFormat="1" x14ac:dyDescent="0.2">
      <c r="M737" s="309"/>
      <c r="AB737" s="310"/>
    </row>
    <row r="738" spans="13:28" s="308" customFormat="1" x14ac:dyDescent="0.2">
      <c r="M738" s="309"/>
      <c r="AB738" s="310"/>
    </row>
    <row r="739" spans="13:28" s="308" customFormat="1" x14ac:dyDescent="0.2">
      <c r="M739" s="309"/>
      <c r="AB739" s="310"/>
    </row>
    <row r="740" spans="13:28" s="308" customFormat="1" x14ac:dyDescent="0.2">
      <c r="M740" s="309"/>
      <c r="AB740" s="310"/>
    </row>
    <row r="741" spans="13:28" s="308" customFormat="1" x14ac:dyDescent="0.2">
      <c r="M741" s="309"/>
      <c r="AB741" s="310"/>
    </row>
    <row r="742" spans="13:28" s="308" customFormat="1" x14ac:dyDescent="0.2">
      <c r="M742" s="309"/>
      <c r="AB742" s="310"/>
    </row>
    <row r="743" spans="13:28" s="308" customFormat="1" x14ac:dyDescent="0.2">
      <c r="M743" s="309"/>
      <c r="AB743" s="310"/>
    </row>
    <row r="744" spans="13:28" s="308" customFormat="1" x14ac:dyDescent="0.2">
      <c r="M744" s="309"/>
      <c r="AB744" s="310"/>
    </row>
    <row r="745" spans="13:28" s="308" customFormat="1" x14ac:dyDescent="0.2">
      <c r="M745" s="309"/>
      <c r="AB745" s="310"/>
    </row>
    <row r="746" spans="13:28" s="308" customFormat="1" x14ac:dyDescent="0.2">
      <c r="M746" s="309"/>
      <c r="AB746" s="310"/>
    </row>
    <row r="747" spans="13:28" s="308" customFormat="1" x14ac:dyDescent="0.2">
      <c r="M747" s="309"/>
      <c r="AB747" s="310"/>
    </row>
    <row r="748" spans="13:28" s="308" customFormat="1" x14ac:dyDescent="0.2">
      <c r="M748" s="309"/>
      <c r="AB748" s="310"/>
    </row>
    <row r="749" spans="13:28" s="308" customFormat="1" x14ac:dyDescent="0.2">
      <c r="M749" s="309"/>
      <c r="AB749" s="310"/>
    </row>
    <row r="750" spans="13:28" s="308" customFormat="1" x14ac:dyDescent="0.2">
      <c r="M750" s="309"/>
      <c r="AB750" s="310"/>
    </row>
    <row r="751" spans="13:28" s="308" customFormat="1" x14ac:dyDescent="0.2">
      <c r="M751" s="309"/>
      <c r="AB751" s="310"/>
    </row>
    <row r="752" spans="13:28" s="308" customFormat="1" x14ac:dyDescent="0.2">
      <c r="M752" s="309"/>
      <c r="AB752" s="310"/>
    </row>
    <row r="753" spans="13:28" s="308" customFormat="1" x14ac:dyDescent="0.2">
      <c r="M753" s="309"/>
      <c r="AB753" s="310"/>
    </row>
    <row r="754" spans="13:28" s="308" customFormat="1" x14ac:dyDescent="0.2">
      <c r="M754" s="309"/>
      <c r="AB754" s="310"/>
    </row>
    <row r="755" spans="13:28" s="308" customFormat="1" x14ac:dyDescent="0.2">
      <c r="M755" s="309"/>
      <c r="AB755" s="310"/>
    </row>
    <row r="756" spans="13:28" s="308" customFormat="1" x14ac:dyDescent="0.2">
      <c r="M756" s="309"/>
      <c r="AB756" s="310"/>
    </row>
    <row r="757" spans="13:28" s="308" customFormat="1" x14ac:dyDescent="0.2">
      <c r="M757" s="309"/>
      <c r="AB757" s="310"/>
    </row>
    <row r="758" spans="13:28" s="308" customFormat="1" x14ac:dyDescent="0.2">
      <c r="M758" s="309"/>
      <c r="AB758" s="310"/>
    </row>
    <row r="759" spans="13:28" s="308" customFormat="1" x14ac:dyDescent="0.2">
      <c r="M759" s="309"/>
      <c r="AB759" s="310"/>
    </row>
    <row r="760" spans="13:28" s="308" customFormat="1" x14ac:dyDescent="0.2">
      <c r="M760" s="309"/>
      <c r="AB760" s="310"/>
    </row>
    <row r="761" spans="13:28" s="308" customFormat="1" x14ac:dyDescent="0.2">
      <c r="M761" s="309"/>
      <c r="AB761" s="310"/>
    </row>
    <row r="762" spans="13:28" s="308" customFormat="1" x14ac:dyDescent="0.2">
      <c r="M762" s="309"/>
      <c r="AB762" s="310"/>
    </row>
    <row r="763" spans="13:28" s="308" customFormat="1" x14ac:dyDescent="0.2">
      <c r="M763" s="309"/>
      <c r="AB763" s="310"/>
    </row>
    <row r="764" spans="13:28" s="308" customFormat="1" x14ac:dyDescent="0.2">
      <c r="M764" s="309"/>
      <c r="AB764" s="310"/>
    </row>
    <row r="765" spans="13:28" s="308" customFormat="1" x14ac:dyDescent="0.2">
      <c r="M765" s="309"/>
      <c r="AB765" s="310"/>
    </row>
    <row r="766" spans="13:28" s="308" customFormat="1" x14ac:dyDescent="0.2">
      <c r="M766" s="309"/>
      <c r="AB766" s="310"/>
    </row>
    <row r="767" spans="13:28" s="308" customFormat="1" x14ac:dyDescent="0.2">
      <c r="M767" s="309"/>
      <c r="AB767" s="310"/>
    </row>
    <row r="768" spans="13:28" s="308" customFormat="1" x14ac:dyDescent="0.2">
      <c r="M768" s="309"/>
      <c r="AB768" s="310"/>
    </row>
    <row r="769" spans="13:28" s="308" customFormat="1" x14ac:dyDescent="0.2">
      <c r="M769" s="309"/>
      <c r="AB769" s="310"/>
    </row>
    <row r="770" spans="13:28" s="308" customFormat="1" x14ac:dyDescent="0.2">
      <c r="M770" s="309"/>
      <c r="AB770" s="310"/>
    </row>
    <row r="771" spans="13:28" s="308" customFormat="1" x14ac:dyDescent="0.2">
      <c r="M771" s="309"/>
      <c r="AB771" s="310"/>
    </row>
    <row r="772" spans="13:28" s="308" customFormat="1" x14ac:dyDescent="0.2">
      <c r="M772" s="309"/>
      <c r="AB772" s="310"/>
    </row>
    <row r="773" spans="13:28" s="308" customFormat="1" x14ac:dyDescent="0.2">
      <c r="M773" s="309"/>
      <c r="AB773" s="310"/>
    </row>
    <row r="774" spans="13:28" s="308" customFormat="1" x14ac:dyDescent="0.2">
      <c r="M774" s="309"/>
      <c r="AB774" s="310"/>
    </row>
    <row r="775" spans="13:28" s="308" customFormat="1" x14ac:dyDescent="0.2">
      <c r="M775" s="309"/>
      <c r="AB775" s="310"/>
    </row>
    <row r="776" spans="13:28" s="308" customFormat="1" x14ac:dyDescent="0.2">
      <c r="M776" s="309"/>
      <c r="AB776" s="310"/>
    </row>
    <row r="777" spans="13:28" s="308" customFormat="1" x14ac:dyDescent="0.2">
      <c r="M777" s="309"/>
      <c r="AB777" s="310"/>
    </row>
    <row r="778" spans="13:28" s="308" customFormat="1" x14ac:dyDescent="0.2">
      <c r="M778" s="309"/>
      <c r="AB778" s="310"/>
    </row>
    <row r="779" spans="13:28" s="308" customFormat="1" x14ac:dyDescent="0.2">
      <c r="M779" s="309"/>
      <c r="AB779" s="310"/>
    </row>
    <row r="780" spans="13:28" s="308" customFormat="1" x14ac:dyDescent="0.2">
      <c r="M780" s="309"/>
      <c r="AB780" s="310"/>
    </row>
    <row r="781" spans="13:28" s="308" customFormat="1" x14ac:dyDescent="0.2">
      <c r="M781" s="309"/>
      <c r="AB781" s="310"/>
    </row>
    <row r="782" spans="13:28" s="308" customFormat="1" x14ac:dyDescent="0.2">
      <c r="M782" s="309"/>
      <c r="AB782" s="310"/>
    </row>
    <row r="783" spans="13:28" s="308" customFormat="1" x14ac:dyDescent="0.2">
      <c r="M783" s="309"/>
      <c r="AB783" s="310"/>
    </row>
    <row r="784" spans="13:28" s="308" customFormat="1" x14ac:dyDescent="0.2">
      <c r="M784" s="309"/>
      <c r="AB784" s="310"/>
    </row>
    <row r="785" spans="13:28" s="308" customFormat="1" x14ac:dyDescent="0.2">
      <c r="M785" s="309"/>
      <c r="AB785" s="310"/>
    </row>
    <row r="786" spans="13:28" s="308" customFormat="1" x14ac:dyDescent="0.2">
      <c r="M786" s="309"/>
      <c r="AB786" s="310"/>
    </row>
    <row r="787" spans="13:28" s="308" customFormat="1" x14ac:dyDescent="0.2">
      <c r="M787" s="309"/>
      <c r="AB787" s="310"/>
    </row>
    <row r="788" spans="13:28" s="308" customFormat="1" x14ac:dyDescent="0.2">
      <c r="M788" s="309"/>
      <c r="AB788" s="310"/>
    </row>
    <row r="789" spans="13:28" s="308" customFormat="1" x14ac:dyDescent="0.2">
      <c r="M789" s="309"/>
      <c r="AB789" s="310"/>
    </row>
    <row r="790" spans="13:28" s="308" customFormat="1" x14ac:dyDescent="0.2">
      <c r="M790" s="309"/>
      <c r="AB790" s="310"/>
    </row>
    <row r="791" spans="13:28" s="308" customFormat="1" x14ac:dyDescent="0.2">
      <c r="M791" s="309"/>
      <c r="AB791" s="310"/>
    </row>
    <row r="792" spans="13:28" s="308" customFormat="1" x14ac:dyDescent="0.2">
      <c r="M792" s="309"/>
      <c r="AB792" s="310"/>
    </row>
    <row r="793" spans="13:28" s="308" customFormat="1" x14ac:dyDescent="0.2">
      <c r="M793" s="309"/>
      <c r="AB793" s="310"/>
    </row>
    <row r="794" spans="13:28" s="308" customFormat="1" x14ac:dyDescent="0.2">
      <c r="M794" s="309"/>
      <c r="AB794" s="310"/>
    </row>
    <row r="795" spans="13:28" s="308" customFormat="1" x14ac:dyDescent="0.2">
      <c r="M795" s="309"/>
      <c r="AB795" s="310"/>
    </row>
    <row r="796" spans="13:28" s="308" customFormat="1" x14ac:dyDescent="0.2">
      <c r="M796" s="309"/>
      <c r="AB796" s="310"/>
    </row>
    <row r="797" spans="13:28" s="308" customFormat="1" x14ac:dyDescent="0.2">
      <c r="M797" s="309"/>
      <c r="AB797" s="310"/>
    </row>
    <row r="798" spans="13:28" s="308" customFormat="1" x14ac:dyDescent="0.2">
      <c r="M798" s="309"/>
      <c r="AB798" s="310"/>
    </row>
    <row r="799" spans="13:28" s="308" customFormat="1" x14ac:dyDescent="0.2">
      <c r="M799" s="309"/>
      <c r="AB799" s="310"/>
    </row>
    <row r="800" spans="13:28" s="308" customFormat="1" x14ac:dyDescent="0.2">
      <c r="M800" s="309"/>
      <c r="AB800" s="310"/>
    </row>
    <row r="801" spans="13:28" s="308" customFormat="1" x14ac:dyDescent="0.2">
      <c r="M801" s="309"/>
      <c r="AB801" s="310"/>
    </row>
    <row r="802" spans="13:28" s="308" customFormat="1" x14ac:dyDescent="0.2">
      <c r="M802" s="309"/>
      <c r="AB802" s="310"/>
    </row>
    <row r="803" spans="13:28" s="308" customFormat="1" x14ac:dyDescent="0.2">
      <c r="M803" s="309"/>
      <c r="AB803" s="310"/>
    </row>
    <row r="804" spans="13:28" s="308" customFormat="1" x14ac:dyDescent="0.2">
      <c r="M804" s="309"/>
      <c r="AB804" s="310"/>
    </row>
    <row r="805" spans="13:28" s="308" customFormat="1" x14ac:dyDescent="0.2">
      <c r="M805" s="309"/>
      <c r="AB805" s="310"/>
    </row>
    <row r="806" spans="13:28" s="308" customFormat="1" x14ac:dyDescent="0.2">
      <c r="M806" s="309"/>
      <c r="AB806" s="310"/>
    </row>
    <row r="807" spans="13:28" s="308" customFormat="1" x14ac:dyDescent="0.2">
      <c r="M807" s="309"/>
      <c r="AB807" s="310"/>
    </row>
    <row r="808" spans="13:28" s="308" customFormat="1" x14ac:dyDescent="0.2">
      <c r="M808" s="309"/>
      <c r="AB808" s="310"/>
    </row>
    <row r="809" spans="13:28" s="308" customFormat="1" x14ac:dyDescent="0.2">
      <c r="M809" s="309"/>
      <c r="AB809" s="310"/>
    </row>
    <row r="810" spans="13:28" s="308" customFormat="1" x14ac:dyDescent="0.2">
      <c r="M810" s="309"/>
      <c r="AB810" s="310"/>
    </row>
    <row r="811" spans="13:28" s="308" customFormat="1" x14ac:dyDescent="0.2">
      <c r="M811" s="309"/>
      <c r="AB811" s="310"/>
    </row>
    <row r="812" spans="13:28" s="308" customFormat="1" x14ac:dyDescent="0.2">
      <c r="M812" s="309"/>
      <c r="AB812" s="310"/>
    </row>
    <row r="813" spans="13:28" s="308" customFormat="1" x14ac:dyDescent="0.2">
      <c r="M813" s="309"/>
      <c r="AB813" s="310"/>
    </row>
    <row r="814" spans="13:28" s="308" customFormat="1" x14ac:dyDescent="0.2">
      <c r="M814" s="309"/>
      <c r="AB814" s="310"/>
    </row>
    <row r="815" spans="13:28" s="308" customFormat="1" x14ac:dyDescent="0.2">
      <c r="M815" s="309"/>
      <c r="AB815" s="310"/>
    </row>
    <row r="816" spans="13:28" s="308" customFormat="1" x14ac:dyDescent="0.2">
      <c r="M816" s="309"/>
      <c r="AB816" s="310"/>
    </row>
    <row r="817" spans="13:28" s="308" customFormat="1" x14ac:dyDescent="0.2">
      <c r="M817" s="309"/>
      <c r="AB817" s="310"/>
    </row>
    <row r="818" spans="13:28" s="308" customFormat="1" x14ac:dyDescent="0.2">
      <c r="M818" s="309"/>
      <c r="AB818" s="310"/>
    </row>
    <row r="819" spans="13:28" s="308" customFormat="1" x14ac:dyDescent="0.2">
      <c r="M819" s="309"/>
      <c r="AB819" s="310"/>
    </row>
    <row r="820" spans="13:28" s="308" customFormat="1" x14ac:dyDescent="0.2">
      <c r="M820" s="309"/>
      <c r="AB820" s="310"/>
    </row>
    <row r="821" spans="13:28" s="308" customFormat="1" x14ac:dyDescent="0.2">
      <c r="M821" s="309"/>
      <c r="AB821" s="310"/>
    </row>
    <row r="822" spans="13:28" s="308" customFormat="1" x14ac:dyDescent="0.2">
      <c r="M822" s="309"/>
      <c r="AB822" s="310"/>
    </row>
    <row r="823" spans="13:28" s="308" customFormat="1" x14ac:dyDescent="0.2">
      <c r="M823" s="309"/>
      <c r="AB823" s="310"/>
    </row>
    <row r="824" spans="13:28" s="308" customFormat="1" x14ac:dyDescent="0.2">
      <c r="M824" s="309"/>
      <c r="AB824" s="310"/>
    </row>
    <row r="825" spans="13:28" s="308" customFormat="1" x14ac:dyDescent="0.2">
      <c r="M825" s="309"/>
      <c r="AB825" s="310"/>
    </row>
    <row r="826" spans="13:28" s="308" customFormat="1" x14ac:dyDescent="0.2">
      <c r="M826" s="309"/>
      <c r="AB826" s="310"/>
    </row>
    <row r="827" spans="13:28" s="308" customFormat="1" x14ac:dyDescent="0.2">
      <c r="M827" s="309"/>
      <c r="AB827" s="310"/>
    </row>
    <row r="828" spans="13:28" s="308" customFormat="1" x14ac:dyDescent="0.2">
      <c r="M828" s="309"/>
      <c r="AB828" s="310"/>
    </row>
    <row r="829" spans="13:28" s="308" customFormat="1" x14ac:dyDescent="0.2">
      <c r="M829" s="309"/>
      <c r="AB829" s="310"/>
    </row>
    <row r="830" spans="13:28" s="308" customFormat="1" x14ac:dyDescent="0.2">
      <c r="M830" s="309"/>
      <c r="AB830" s="310"/>
    </row>
    <row r="831" spans="13:28" s="308" customFormat="1" x14ac:dyDescent="0.2">
      <c r="M831" s="309"/>
      <c r="AB831" s="310"/>
    </row>
    <row r="832" spans="13:28" s="308" customFormat="1" x14ac:dyDescent="0.2">
      <c r="M832" s="309"/>
      <c r="AB832" s="310"/>
    </row>
    <row r="833" spans="13:28" s="308" customFormat="1" x14ac:dyDescent="0.2">
      <c r="M833" s="309"/>
      <c r="AB833" s="310"/>
    </row>
    <row r="834" spans="13:28" s="308" customFormat="1" x14ac:dyDescent="0.2">
      <c r="M834" s="309"/>
      <c r="AB834" s="310"/>
    </row>
    <row r="835" spans="13:28" s="308" customFormat="1" x14ac:dyDescent="0.2">
      <c r="M835" s="309"/>
      <c r="AB835" s="310"/>
    </row>
    <row r="836" spans="13:28" s="308" customFormat="1" x14ac:dyDescent="0.2">
      <c r="M836" s="309"/>
      <c r="AB836" s="310"/>
    </row>
    <row r="837" spans="13:28" s="308" customFormat="1" x14ac:dyDescent="0.2">
      <c r="M837" s="309"/>
      <c r="AB837" s="310"/>
    </row>
    <row r="838" spans="13:28" s="308" customFormat="1" x14ac:dyDescent="0.2">
      <c r="M838" s="309"/>
      <c r="AB838" s="310"/>
    </row>
    <row r="839" spans="13:28" s="308" customFormat="1" x14ac:dyDescent="0.2">
      <c r="M839" s="309"/>
      <c r="AB839" s="310"/>
    </row>
    <row r="840" spans="13:28" s="308" customFormat="1" x14ac:dyDescent="0.2">
      <c r="M840" s="309"/>
      <c r="AB840" s="310"/>
    </row>
    <row r="841" spans="13:28" s="308" customFormat="1" x14ac:dyDescent="0.2">
      <c r="M841" s="309"/>
      <c r="AB841" s="310"/>
    </row>
    <row r="842" spans="13:28" s="308" customFormat="1" x14ac:dyDescent="0.2">
      <c r="M842" s="309"/>
      <c r="AB842" s="310"/>
    </row>
    <row r="843" spans="13:28" s="308" customFormat="1" x14ac:dyDescent="0.2">
      <c r="M843" s="309"/>
      <c r="AB843" s="310"/>
    </row>
    <row r="844" spans="13:28" s="308" customFormat="1" x14ac:dyDescent="0.2">
      <c r="M844" s="309"/>
      <c r="AB844" s="310"/>
    </row>
    <row r="845" spans="13:28" s="308" customFormat="1" x14ac:dyDescent="0.2">
      <c r="M845" s="309"/>
      <c r="AB845" s="310"/>
    </row>
    <row r="846" spans="13:28" s="308" customFormat="1" x14ac:dyDescent="0.2">
      <c r="M846" s="309"/>
      <c r="AB846" s="310"/>
    </row>
    <row r="847" spans="13:28" s="308" customFormat="1" x14ac:dyDescent="0.2">
      <c r="M847" s="309"/>
      <c r="AB847" s="310"/>
    </row>
    <row r="848" spans="13:28" s="308" customFormat="1" x14ac:dyDescent="0.2">
      <c r="M848" s="309"/>
      <c r="AB848" s="310"/>
    </row>
    <row r="849" spans="13:28" s="308" customFormat="1" x14ac:dyDescent="0.2">
      <c r="M849" s="309"/>
      <c r="AB849" s="310"/>
    </row>
    <row r="850" spans="13:28" s="308" customFormat="1" x14ac:dyDescent="0.2">
      <c r="M850" s="309"/>
      <c r="AB850" s="310"/>
    </row>
    <row r="851" spans="13:28" s="308" customFormat="1" x14ac:dyDescent="0.2">
      <c r="M851" s="309"/>
      <c r="AB851" s="310"/>
    </row>
    <row r="852" spans="13:28" s="308" customFormat="1" x14ac:dyDescent="0.2">
      <c r="M852" s="309"/>
      <c r="AB852" s="310"/>
    </row>
    <row r="853" spans="13:28" s="308" customFormat="1" x14ac:dyDescent="0.2">
      <c r="M853" s="309"/>
      <c r="AB853" s="310"/>
    </row>
    <row r="854" spans="13:28" s="308" customFormat="1" x14ac:dyDescent="0.2">
      <c r="M854" s="309"/>
      <c r="AB854" s="310"/>
    </row>
    <row r="855" spans="13:28" s="308" customFormat="1" x14ac:dyDescent="0.2">
      <c r="M855" s="309"/>
      <c r="AB855" s="310"/>
    </row>
    <row r="856" spans="13:28" s="308" customFormat="1" x14ac:dyDescent="0.2">
      <c r="M856" s="309"/>
      <c r="AB856" s="310"/>
    </row>
    <row r="857" spans="13:28" s="308" customFormat="1" x14ac:dyDescent="0.2">
      <c r="M857" s="309"/>
      <c r="AB857" s="310"/>
    </row>
    <row r="858" spans="13:28" s="308" customFormat="1" x14ac:dyDescent="0.2">
      <c r="M858" s="309"/>
      <c r="AB858" s="310"/>
    </row>
    <row r="859" spans="13:28" s="308" customFormat="1" x14ac:dyDescent="0.2">
      <c r="M859" s="309"/>
      <c r="AB859" s="310"/>
    </row>
    <row r="860" spans="13:28" s="308" customFormat="1" x14ac:dyDescent="0.2">
      <c r="M860" s="309"/>
      <c r="AB860" s="310"/>
    </row>
    <row r="861" spans="13:28" s="308" customFormat="1" x14ac:dyDescent="0.2">
      <c r="M861" s="309"/>
      <c r="AB861" s="310"/>
    </row>
    <row r="862" spans="13:28" s="308" customFormat="1" x14ac:dyDescent="0.2">
      <c r="M862" s="309"/>
      <c r="AB862" s="310"/>
    </row>
    <row r="863" spans="13:28" s="308" customFormat="1" x14ac:dyDescent="0.2">
      <c r="M863" s="309"/>
      <c r="AB863" s="310"/>
    </row>
    <row r="864" spans="13:28" s="308" customFormat="1" x14ac:dyDescent="0.2">
      <c r="M864" s="309"/>
      <c r="AB864" s="310"/>
    </row>
    <row r="865" spans="13:28" s="308" customFormat="1" x14ac:dyDescent="0.2">
      <c r="M865" s="309"/>
      <c r="AB865" s="310"/>
    </row>
    <row r="866" spans="13:28" s="308" customFormat="1" x14ac:dyDescent="0.2">
      <c r="M866" s="309"/>
      <c r="AB866" s="310"/>
    </row>
    <row r="867" spans="13:28" s="308" customFormat="1" x14ac:dyDescent="0.2">
      <c r="M867" s="309"/>
      <c r="AB867" s="310"/>
    </row>
    <row r="868" spans="13:28" s="308" customFormat="1" x14ac:dyDescent="0.2">
      <c r="M868" s="309"/>
      <c r="AB868" s="310"/>
    </row>
    <row r="869" spans="13:28" s="308" customFormat="1" x14ac:dyDescent="0.2">
      <c r="M869" s="309"/>
      <c r="AB869" s="310"/>
    </row>
    <row r="870" spans="13:28" s="308" customFormat="1" x14ac:dyDescent="0.2">
      <c r="M870" s="309"/>
      <c r="AB870" s="310"/>
    </row>
    <row r="871" spans="13:28" s="308" customFormat="1" x14ac:dyDescent="0.2">
      <c r="M871" s="309"/>
      <c r="AB871" s="310"/>
    </row>
    <row r="872" spans="13:28" s="308" customFormat="1" x14ac:dyDescent="0.2">
      <c r="M872" s="309"/>
      <c r="AB872" s="310"/>
    </row>
    <row r="873" spans="13:28" s="308" customFormat="1" x14ac:dyDescent="0.2">
      <c r="M873" s="309"/>
      <c r="AB873" s="310"/>
    </row>
    <row r="874" spans="13:28" s="308" customFormat="1" x14ac:dyDescent="0.2">
      <c r="M874" s="309"/>
      <c r="AB874" s="310"/>
    </row>
    <row r="875" spans="13:28" s="308" customFormat="1" x14ac:dyDescent="0.2">
      <c r="M875" s="309"/>
      <c r="AB875" s="310"/>
    </row>
    <row r="876" spans="13:28" s="308" customFormat="1" x14ac:dyDescent="0.2">
      <c r="M876" s="309"/>
      <c r="AB876" s="310"/>
    </row>
    <row r="877" spans="13:28" s="308" customFormat="1" x14ac:dyDescent="0.2">
      <c r="M877" s="309"/>
      <c r="AB877" s="310"/>
    </row>
    <row r="878" spans="13:28" s="308" customFormat="1" x14ac:dyDescent="0.2">
      <c r="M878" s="309"/>
      <c r="AB878" s="310"/>
    </row>
    <row r="879" spans="13:28" s="308" customFormat="1" x14ac:dyDescent="0.2">
      <c r="M879" s="309"/>
      <c r="AB879" s="310"/>
    </row>
    <row r="880" spans="13:28" s="308" customFormat="1" x14ac:dyDescent="0.2">
      <c r="M880" s="309"/>
      <c r="AB880" s="310"/>
    </row>
    <row r="881" spans="13:28" s="308" customFormat="1" x14ac:dyDescent="0.2">
      <c r="M881" s="309"/>
      <c r="AB881" s="310"/>
    </row>
    <row r="882" spans="13:28" s="308" customFormat="1" x14ac:dyDescent="0.2">
      <c r="M882" s="309"/>
      <c r="AB882" s="310"/>
    </row>
    <row r="883" spans="13:28" s="308" customFormat="1" x14ac:dyDescent="0.2">
      <c r="M883" s="309"/>
      <c r="AB883" s="310"/>
    </row>
    <row r="884" spans="13:28" s="308" customFormat="1" x14ac:dyDescent="0.2">
      <c r="M884" s="309"/>
      <c r="AB884" s="310"/>
    </row>
    <row r="885" spans="13:28" s="308" customFormat="1" x14ac:dyDescent="0.2">
      <c r="M885" s="309"/>
      <c r="AB885" s="310"/>
    </row>
    <row r="886" spans="13:28" s="308" customFormat="1" x14ac:dyDescent="0.2">
      <c r="M886" s="309"/>
      <c r="AB886" s="310"/>
    </row>
    <row r="887" spans="13:28" s="308" customFormat="1" x14ac:dyDescent="0.2">
      <c r="M887" s="309"/>
      <c r="AB887" s="310"/>
    </row>
    <row r="888" spans="13:28" s="308" customFormat="1" x14ac:dyDescent="0.2">
      <c r="M888" s="309"/>
      <c r="AB888" s="310"/>
    </row>
    <row r="889" spans="13:28" s="308" customFormat="1" x14ac:dyDescent="0.2">
      <c r="M889" s="309"/>
      <c r="AB889" s="310"/>
    </row>
    <row r="890" spans="13:28" s="308" customFormat="1" x14ac:dyDescent="0.2">
      <c r="M890" s="309"/>
      <c r="AB890" s="310"/>
    </row>
    <row r="891" spans="13:28" s="308" customFormat="1" x14ac:dyDescent="0.2">
      <c r="M891" s="309"/>
      <c r="AB891" s="310"/>
    </row>
    <row r="892" spans="13:28" s="308" customFormat="1" x14ac:dyDescent="0.2">
      <c r="M892" s="309"/>
      <c r="AB892" s="310"/>
    </row>
    <row r="893" spans="13:28" s="308" customFormat="1" x14ac:dyDescent="0.2">
      <c r="M893" s="309"/>
      <c r="AB893" s="310"/>
    </row>
    <row r="894" spans="13:28" s="308" customFormat="1" x14ac:dyDescent="0.2">
      <c r="M894" s="309"/>
      <c r="AB894" s="310"/>
    </row>
    <row r="895" spans="13:28" s="308" customFormat="1" x14ac:dyDescent="0.2">
      <c r="M895" s="309"/>
      <c r="AB895" s="310"/>
    </row>
    <row r="896" spans="13:28" s="308" customFormat="1" x14ac:dyDescent="0.2">
      <c r="M896" s="309"/>
      <c r="AB896" s="310"/>
    </row>
    <row r="897" spans="13:28" s="308" customFormat="1" x14ac:dyDescent="0.2">
      <c r="M897" s="309"/>
      <c r="AB897" s="310"/>
    </row>
    <row r="898" spans="13:28" s="308" customFormat="1" x14ac:dyDescent="0.2">
      <c r="M898" s="309"/>
      <c r="AB898" s="310"/>
    </row>
    <row r="899" spans="13:28" s="308" customFormat="1" x14ac:dyDescent="0.2">
      <c r="M899" s="309"/>
      <c r="AB899" s="310"/>
    </row>
    <row r="900" spans="13:28" s="308" customFormat="1" x14ac:dyDescent="0.2">
      <c r="M900" s="309"/>
      <c r="AB900" s="310"/>
    </row>
    <row r="901" spans="13:28" s="308" customFormat="1" x14ac:dyDescent="0.2">
      <c r="M901" s="309"/>
      <c r="AB901" s="310"/>
    </row>
    <row r="902" spans="13:28" s="308" customFormat="1" x14ac:dyDescent="0.2">
      <c r="M902" s="309"/>
      <c r="AB902" s="310"/>
    </row>
    <row r="903" spans="13:28" s="308" customFormat="1" x14ac:dyDescent="0.2">
      <c r="M903" s="309"/>
      <c r="AB903" s="310"/>
    </row>
    <row r="904" spans="13:28" s="308" customFormat="1" x14ac:dyDescent="0.2">
      <c r="M904" s="309"/>
      <c r="AB904" s="310"/>
    </row>
    <row r="905" spans="13:28" s="308" customFormat="1" x14ac:dyDescent="0.2">
      <c r="M905" s="309"/>
      <c r="AB905" s="310"/>
    </row>
    <row r="906" spans="13:28" s="308" customFormat="1" x14ac:dyDescent="0.2">
      <c r="M906" s="309"/>
      <c r="AB906" s="310"/>
    </row>
    <row r="907" spans="13:28" s="308" customFormat="1" x14ac:dyDescent="0.2">
      <c r="M907" s="309"/>
      <c r="AB907" s="310"/>
    </row>
    <row r="908" spans="13:28" s="308" customFormat="1" x14ac:dyDescent="0.2">
      <c r="M908" s="309"/>
      <c r="AB908" s="310"/>
    </row>
    <row r="909" spans="13:28" s="308" customFormat="1" x14ac:dyDescent="0.2">
      <c r="M909" s="309"/>
      <c r="AB909" s="310"/>
    </row>
    <row r="910" spans="13:28" s="308" customFormat="1" x14ac:dyDescent="0.2">
      <c r="M910" s="309"/>
      <c r="AB910" s="310"/>
    </row>
    <row r="911" spans="13:28" s="308" customFormat="1" x14ac:dyDescent="0.2">
      <c r="M911" s="309"/>
      <c r="AB911" s="310"/>
    </row>
    <row r="912" spans="13:28" s="308" customFormat="1" x14ac:dyDescent="0.2">
      <c r="M912" s="309"/>
      <c r="AB912" s="310"/>
    </row>
    <row r="913" spans="13:28" s="308" customFormat="1" x14ac:dyDescent="0.2">
      <c r="M913" s="309"/>
      <c r="AB913" s="310"/>
    </row>
    <row r="914" spans="13:28" s="308" customFormat="1" x14ac:dyDescent="0.2">
      <c r="M914" s="309"/>
      <c r="AB914" s="310"/>
    </row>
    <row r="915" spans="13:28" s="308" customFormat="1" x14ac:dyDescent="0.2">
      <c r="M915" s="309"/>
      <c r="AB915" s="310"/>
    </row>
    <row r="916" spans="13:28" s="308" customFormat="1" x14ac:dyDescent="0.2">
      <c r="M916" s="309"/>
      <c r="AB916" s="310"/>
    </row>
    <row r="917" spans="13:28" s="308" customFormat="1" x14ac:dyDescent="0.2">
      <c r="M917" s="309"/>
      <c r="AB917" s="310"/>
    </row>
    <row r="918" spans="13:28" s="308" customFormat="1" x14ac:dyDescent="0.2">
      <c r="M918" s="309"/>
      <c r="AB918" s="310"/>
    </row>
    <row r="919" spans="13:28" s="308" customFormat="1" x14ac:dyDescent="0.2">
      <c r="M919" s="309"/>
      <c r="AB919" s="310"/>
    </row>
    <row r="920" spans="13:28" s="308" customFormat="1" x14ac:dyDescent="0.2">
      <c r="M920" s="309"/>
      <c r="AB920" s="310"/>
    </row>
    <row r="921" spans="13:28" s="308" customFormat="1" x14ac:dyDescent="0.2">
      <c r="M921" s="309"/>
      <c r="AB921" s="310"/>
    </row>
    <row r="922" spans="13:28" s="308" customFormat="1" x14ac:dyDescent="0.2">
      <c r="M922" s="309"/>
      <c r="AB922" s="310"/>
    </row>
    <row r="923" spans="13:28" s="308" customFormat="1" x14ac:dyDescent="0.2">
      <c r="M923" s="309"/>
      <c r="AB923" s="310"/>
    </row>
    <row r="924" spans="13:28" s="308" customFormat="1" x14ac:dyDescent="0.2">
      <c r="M924" s="309"/>
      <c r="AB924" s="310"/>
    </row>
    <row r="925" spans="13:28" s="308" customFormat="1" x14ac:dyDescent="0.2">
      <c r="M925" s="309"/>
      <c r="AB925" s="310"/>
    </row>
    <row r="926" spans="13:28" s="308" customFormat="1" x14ac:dyDescent="0.2">
      <c r="M926" s="309"/>
      <c r="AB926" s="310"/>
    </row>
    <row r="927" spans="13:28" s="308" customFormat="1" x14ac:dyDescent="0.2">
      <c r="M927" s="309"/>
      <c r="AB927" s="310"/>
    </row>
    <row r="928" spans="13:28" s="308" customFormat="1" x14ac:dyDescent="0.2">
      <c r="M928" s="309"/>
      <c r="AB928" s="310"/>
    </row>
    <row r="929" spans="13:28" s="308" customFormat="1" x14ac:dyDescent="0.2">
      <c r="M929" s="309"/>
      <c r="AB929" s="310"/>
    </row>
    <row r="930" spans="13:28" s="308" customFormat="1" x14ac:dyDescent="0.2">
      <c r="M930" s="309"/>
      <c r="AB930" s="310"/>
    </row>
    <row r="931" spans="13:28" s="308" customFormat="1" x14ac:dyDescent="0.2">
      <c r="M931" s="309"/>
      <c r="AB931" s="310"/>
    </row>
    <row r="932" spans="13:28" s="308" customFormat="1" x14ac:dyDescent="0.2">
      <c r="M932" s="309"/>
      <c r="AB932" s="310"/>
    </row>
    <row r="933" spans="13:28" s="308" customFormat="1" x14ac:dyDescent="0.2">
      <c r="M933" s="309"/>
      <c r="AB933" s="310"/>
    </row>
    <row r="934" spans="13:28" s="308" customFormat="1" x14ac:dyDescent="0.2">
      <c r="M934" s="309"/>
      <c r="AB934" s="310"/>
    </row>
    <row r="935" spans="13:28" s="308" customFormat="1" x14ac:dyDescent="0.2">
      <c r="M935" s="309"/>
      <c r="AB935" s="310"/>
    </row>
    <row r="936" spans="13:28" s="308" customFormat="1" x14ac:dyDescent="0.2">
      <c r="M936" s="309"/>
      <c r="AB936" s="310"/>
    </row>
    <row r="937" spans="13:28" s="308" customFormat="1" x14ac:dyDescent="0.2">
      <c r="M937" s="309"/>
      <c r="AB937" s="310"/>
    </row>
    <row r="938" spans="13:28" s="308" customFormat="1" x14ac:dyDescent="0.2">
      <c r="M938" s="309"/>
      <c r="AB938" s="310"/>
    </row>
    <row r="939" spans="13:28" s="308" customFormat="1" x14ac:dyDescent="0.2">
      <c r="M939" s="309"/>
      <c r="AB939" s="310"/>
    </row>
    <row r="940" spans="13:28" s="308" customFormat="1" x14ac:dyDescent="0.2">
      <c r="M940" s="309"/>
      <c r="AB940" s="310"/>
    </row>
    <row r="941" spans="13:28" s="308" customFormat="1" x14ac:dyDescent="0.2">
      <c r="M941" s="309"/>
      <c r="AB941" s="310"/>
    </row>
    <row r="942" spans="13:28" s="308" customFormat="1" x14ac:dyDescent="0.2">
      <c r="M942" s="309"/>
      <c r="AB942" s="310"/>
    </row>
    <row r="943" spans="13:28" s="308" customFormat="1" x14ac:dyDescent="0.2">
      <c r="M943" s="309"/>
      <c r="AB943" s="310"/>
    </row>
    <row r="944" spans="13:28" s="308" customFormat="1" x14ac:dyDescent="0.2">
      <c r="M944" s="309"/>
      <c r="AB944" s="310"/>
    </row>
    <row r="945" spans="13:28" s="308" customFormat="1" x14ac:dyDescent="0.2">
      <c r="M945" s="309"/>
      <c r="AB945" s="310"/>
    </row>
    <row r="946" spans="13:28" s="308" customFormat="1" x14ac:dyDescent="0.2">
      <c r="M946" s="309"/>
      <c r="AB946" s="310"/>
    </row>
    <row r="947" spans="13:28" s="308" customFormat="1" x14ac:dyDescent="0.2">
      <c r="M947" s="309"/>
      <c r="AB947" s="310"/>
    </row>
    <row r="948" spans="13:28" s="308" customFormat="1" x14ac:dyDescent="0.2">
      <c r="M948" s="309"/>
      <c r="AB948" s="310"/>
    </row>
    <row r="949" spans="13:28" s="308" customFormat="1" x14ac:dyDescent="0.2">
      <c r="M949" s="309"/>
      <c r="AB949" s="310"/>
    </row>
    <row r="950" spans="13:28" s="308" customFormat="1" x14ac:dyDescent="0.2">
      <c r="M950" s="309"/>
      <c r="AB950" s="310"/>
    </row>
    <row r="951" spans="13:28" s="308" customFormat="1" x14ac:dyDescent="0.2">
      <c r="M951" s="309"/>
      <c r="AB951" s="310"/>
    </row>
    <row r="952" spans="13:28" s="308" customFormat="1" x14ac:dyDescent="0.2">
      <c r="M952" s="309"/>
      <c r="AB952" s="310"/>
    </row>
    <row r="953" spans="13:28" s="308" customFormat="1" x14ac:dyDescent="0.2">
      <c r="M953" s="309"/>
      <c r="AB953" s="310"/>
    </row>
    <row r="954" spans="13:28" s="308" customFormat="1" x14ac:dyDescent="0.2">
      <c r="M954" s="309"/>
      <c r="AB954" s="310"/>
    </row>
    <row r="955" spans="13:28" s="308" customFormat="1" x14ac:dyDescent="0.2">
      <c r="M955" s="309"/>
      <c r="AB955" s="310"/>
    </row>
    <row r="956" spans="13:28" s="308" customFormat="1" x14ac:dyDescent="0.2">
      <c r="M956" s="309"/>
      <c r="AB956" s="310"/>
    </row>
    <row r="957" spans="13:28" s="308" customFormat="1" x14ac:dyDescent="0.2">
      <c r="M957" s="309"/>
      <c r="AB957" s="310"/>
    </row>
    <row r="958" spans="13:28" s="308" customFormat="1" x14ac:dyDescent="0.2">
      <c r="M958" s="309"/>
      <c r="AB958" s="310"/>
    </row>
    <row r="959" spans="13:28" s="308" customFormat="1" x14ac:dyDescent="0.2">
      <c r="M959" s="309"/>
      <c r="AB959" s="310"/>
    </row>
    <row r="960" spans="13:28" s="308" customFormat="1" x14ac:dyDescent="0.2">
      <c r="M960" s="309"/>
      <c r="AB960" s="310"/>
    </row>
    <row r="961" spans="13:28" s="308" customFormat="1" x14ac:dyDescent="0.2">
      <c r="M961" s="309"/>
      <c r="AB961" s="310"/>
    </row>
    <row r="962" spans="13:28" s="308" customFormat="1" x14ac:dyDescent="0.2">
      <c r="M962" s="309"/>
      <c r="AB962" s="310"/>
    </row>
    <row r="963" spans="13:28" s="308" customFormat="1" x14ac:dyDescent="0.2">
      <c r="M963" s="309"/>
      <c r="AB963" s="310"/>
    </row>
    <row r="964" spans="13:28" s="308" customFormat="1" x14ac:dyDescent="0.2">
      <c r="M964" s="309"/>
      <c r="AB964" s="310"/>
    </row>
    <row r="965" spans="13:28" s="308" customFormat="1" x14ac:dyDescent="0.2">
      <c r="M965" s="309"/>
      <c r="AB965" s="310"/>
    </row>
    <row r="966" spans="13:28" s="308" customFormat="1" x14ac:dyDescent="0.2">
      <c r="M966" s="309"/>
      <c r="AB966" s="310"/>
    </row>
    <row r="967" spans="13:28" s="308" customFormat="1" x14ac:dyDescent="0.2">
      <c r="M967" s="309"/>
      <c r="AB967" s="310"/>
    </row>
    <row r="968" spans="13:28" s="308" customFormat="1" x14ac:dyDescent="0.2">
      <c r="M968" s="309"/>
      <c r="AB968" s="310"/>
    </row>
    <row r="969" spans="13:28" s="308" customFormat="1" x14ac:dyDescent="0.2">
      <c r="M969" s="309"/>
      <c r="AB969" s="310"/>
    </row>
    <row r="970" spans="13:28" s="308" customFormat="1" x14ac:dyDescent="0.2">
      <c r="M970" s="309"/>
      <c r="AB970" s="310"/>
    </row>
    <row r="971" spans="13:28" s="308" customFormat="1" x14ac:dyDescent="0.2">
      <c r="M971" s="309"/>
      <c r="AB971" s="310"/>
    </row>
    <row r="972" spans="13:28" s="308" customFormat="1" x14ac:dyDescent="0.2">
      <c r="M972" s="309"/>
      <c r="AB972" s="310"/>
    </row>
    <row r="973" spans="13:28" s="308" customFormat="1" x14ac:dyDescent="0.2">
      <c r="M973" s="309"/>
      <c r="AB973" s="310"/>
    </row>
    <row r="974" spans="13:28" s="308" customFormat="1" x14ac:dyDescent="0.2">
      <c r="M974" s="309"/>
      <c r="AB974" s="310"/>
    </row>
    <row r="975" spans="13:28" s="308" customFormat="1" x14ac:dyDescent="0.2">
      <c r="M975" s="309"/>
      <c r="AB975" s="310"/>
    </row>
    <row r="976" spans="13:28" s="308" customFormat="1" x14ac:dyDescent="0.2">
      <c r="M976" s="309"/>
      <c r="AB976" s="310"/>
    </row>
    <row r="977" spans="13:28" s="308" customFormat="1" x14ac:dyDescent="0.2">
      <c r="M977" s="309"/>
      <c r="AB977" s="310"/>
    </row>
    <row r="978" spans="13:28" s="308" customFormat="1" x14ac:dyDescent="0.2">
      <c r="M978" s="309"/>
      <c r="AB978" s="310"/>
    </row>
    <row r="979" spans="13:28" s="308" customFormat="1" x14ac:dyDescent="0.2">
      <c r="M979" s="309"/>
      <c r="AB979" s="310"/>
    </row>
    <row r="980" spans="13:28" s="308" customFormat="1" x14ac:dyDescent="0.2">
      <c r="M980" s="309"/>
      <c r="AB980" s="310"/>
    </row>
    <row r="981" spans="13:28" s="308" customFormat="1" x14ac:dyDescent="0.2">
      <c r="M981" s="309"/>
      <c r="AB981" s="310"/>
    </row>
    <row r="982" spans="13:28" s="308" customFormat="1" x14ac:dyDescent="0.2">
      <c r="M982" s="309"/>
      <c r="AB982" s="310"/>
    </row>
    <row r="983" spans="13:28" s="308" customFormat="1" x14ac:dyDescent="0.2">
      <c r="M983" s="309"/>
      <c r="AB983" s="310"/>
    </row>
    <row r="984" spans="13:28" s="308" customFormat="1" x14ac:dyDescent="0.2">
      <c r="M984" s="309"/>
      <c r="AB984" s="310"/>
    </row>
    <row r="985" spans="13:28" s="308" customFormat="1" x14ac:dyDescent="0.2">
      <c r="M985" s="309"/>
      <c r="AB985" s="310"/>
    </row>
    <row r="986" spans="13:28" s="308" customFormat="1" x14ac:dyDescent="0.2">
      <c r="M986" s="309"/>
      <c r="AB986" s="310"/>
    </row>
    <row r="987" spans="13:28" s="308" customFormat="1" x14ac:dyDescent="0.2">
      <c r="M987" s="309"/>
      <c r="AB987" s="310"/>
    </row>
    <row r="988" spans="13:28" s="308" customFormat="1" x14ac:dyDescent="0.2">
      <c r="M988" s="309"/>
      <c r="AB988" s="310"/>
    </row>
    <row r="989" spans="13:28" s="308" customFormat="1" x14ac:dyDescent="0.2">
      <c r="M989" s="309"/>
      <c r="AB989" s="310"/>
    </row>
    <row r="990" spans="13:28" s="308" customFormat="1" x14ac:dyDescent="0.2">
      <c r="M990" s="309"/>
      <c r="AB990" s="310"/>
    </row>
    <row r="991" spans="13:28" s="308" customFormat="1" x14ac:dyDescent="0.2">
      <c r="M991" s="309"/>
      <c r="AB991" s="310"/>
    </row>
    <row r="992" spans="13:28" s="308" customFormat="1" x14ac:dyDescent="0.2">
      <c r="M992" s="309"/>
      <c r="AB992" s="310"/>
    </row>
    <row r="993" spans="13:28" s="308" customFormat="1" x14ac:dyDescent="0.2">
      <c r="M993" s="309"/>
      <c r="AB993" s="310"/>
    </row>
    <row r="994" spans="13:28" s="308" customFormat="1" x14ac:dyDescent="0.2">
      <c r="M994" s="309"/>
      <c r="AB994" s="310"/>
    </row>
    <row r="995" spans="13:28" s="308" customFormat="1" x14ac:dyDescent="0.2">
      <c r="M995" s="309"/>
      <c r="AB995" s="310"/>
    </row>
    <row r="996" spans="13:28" s="308" customFormat="1" x14ac:dyDescent="0.2">
      <c r="M996" s="309"/>
      <c r="AB996" s="310"/>
    </row>
    <row r="997" spans="13:28" s="308" customFormat="1" x14ac:dyDescent="0.2">
      <c r="M997" s="309"/>
      <c r="AB997" s="310"/>
    </row>
    <row r="998" spans="13:28" s="308" customFormat="1" x14ac:dyDescent="0.2">
      <c r="M998" s="309"/>
      <c r="AB998" s="310"/>
    </row>
    <row r="999" spans="13:28" s="308" customFormat="1" x14ac:dyDescent="0.2">
      <c r="M999" s="309"/>
      <c r="AB999" s="310"/>
    </row>
    <row r="1000" spans="13:28" s="308" customFormat="1" x14ac:dyDescent="0.2">
      <c r="M1000" s="309"/>
      <c r="AB1000" s="310"/>
    </row>
    <row r="1001" spans="13:28" s="308" customFormat="1" x14ac:dyDescent="0.2">
      <c r="M1001" s="309"/>
      <c r="AB1001" s="310"/>
    </row>
    <row r="1002" spans="13:28" s="308" customFormat="1" x14ac:dyDescent="0.2">
      <c r="M1002" s="309"/>
      <c r="AB1002" s="310"/>
    </row>
    <row r="1003" spans="13:28" s="308" customFormat="1" x14ac:dyDescent="0.2">
      <c r="M1003" s="309"/>
      <c r="AB1003" s="310"/>
    </row>
    <row r="1004" spans="13:28" s="308" customFormat="1" x14ac:dyDescent="0.2">
      <c r="M1004" s="309"/>
      <c r="AB1004" s="310"/>
    </row>
    <row r="1005" spans="13:28" s="308" customFormat="1" x14ac:dyDescent="0.2">
      <c r="M1005" s="309"/>
      <c r="AB1005" s="310"/>
    </row>
    <row r="1006" spans="13:28" s="308" customFormat="1" x14ac:dyDescent="0.2">
      <c r="M1006" s="309"/>
      <c r="AB1006" s="310"/>
    </row>
    <row r="1007" spans="13:28" s="308" customFormat="1" x14ac:dyDescent="0.2">
      <c r="M1007" s="309"/>
      <c r="AB1007" s="310"/>
    </row>
    <row r="1008" spans="13:28" s="308" customFormat="1" x14ac:dyDescent="0.2">
      <c r="M1008" s="309"/>
      <c r="AB1008" s="310"/>
    </row>
    <row r="1009" spans="13:28" s="308" customFormat="1" x14ac:dyDescent="0.2">
      <c r="M1009" s="309"/>
      <c r="AB1009" s="310"/>
    </row>
    <row r="1010" spans="13:28" s="308" customFormat="1" x14ac:dyDescent="0.2">
      <c r="M1010" s="309"/>
      <c r="AB1010" s="310"/>
    </row>
    <row r="1011" spans="13:28" s="308" customFormat="1" x14ac:dyDescent="0.2">
      <c r="M1011" s="309"/>
      <c r="AB1011" s="310"/>
    </row>
    <row r="1012" spans="13:28" s="308" customFormat="1" x14ac:dyDescent="0.2">
      <c r="M1012" s="309"/>
      <c r="AB1012" s="310"/>
    </row>
    <row r="1013" spans="13:28" s="308" customFormat="1" x14ac:dyDescent="0.2">
      <c r="M1013" s="309"/>
      <c r="AB1013" s="310"/>
    </row>
    <row r="1014" spans="13:28" s="308" customFormat="1" x14ac:dyDescent="0.2">
      <c r="M1014" s="309"/>
      <c r="AB1014" s="310"/>
    </row>
    <row r="1015" spans="13:28" s="308" customFormat="1" x14ac:dyDescent="0.2">
      <c r="M1015" s="309"/>
      <c r="AB1015" s="310"/>
    </row>
    <row r="1016" spans="13:28" s="308" customFormat="1" x14ac:dyDescent="0.2">
      <c r="M1016" s="309"/>
      <c r="AB1016" s="310"/>
    </row>
    <row r="1017" spans="13:28" s="308" customFormat="1" x14ac:dyDescent="0.2">
      <c r="M1017" s="309"/>
      <c r="AB1017" s="310"/>
    </row>
    <row r="1018" spans="13:28" s="308" customFormat="1" x14ac:dyDescent="0.2">
      <c r="M1018" s="309"/>
      <c r="AB1018" s="310"/>
    </row>
    <row r="1019" spans="13:28" s="308" customFormat="1" x14ac:dyDescent="0.2">
      <c r="M1019" s="309"/>
      <c r="AB1019" s="310"/>
    </row>
    <row r="1020" spans="13:28" s="308" customFormat="1" x14ac:dyDescent="0.2">
      <c r="M1020" s="309"/>
      <c r="AB1020" s="310"/>
    </row>
    <row r="1021" spans="13:28" s="308" customFormat="1" x14ac:dyDescent="0.2">
      <c r="M1021" s="309"/>
      <c r="AB1021" s="310"/>
    </row>
    <row r="1022" spans="13:28" s="308" customFormat="1" x14ac:dyDescent="0.2">
      <c r="M1022" s="309"/>
      <c r="AB1022" s="310"/>
    </row>
    <row r="1023" spans="13:28" s="308" customFormat="1" x14ac:dyDescent="0.2">
      <c r="M1023" s="309"/>
      <c r="AB1023" s="310"/>
    </row>
    <row r="1024" spans="13:28" s="308" customFormat="1" x14ac:dyDescent="0.2">
      <c r="M1024" s="309"/>
      <c r="AB1024" s="310"/>
    </row>
    <row r="1025" spans="13:28" s="308" customFormat="1" x14ac:dyDescent="0.2">
      <c r="M1025" s="309"/>
      <c r="AB1025" s="310"/>
    </row>
    <row r="1026" spans="13:28" s="308" customFormat="1" x14ac:dyDescent="0.2">
      <c r="M1026" s="309"/>
      <c r="AB1026" s="310"/>
    </row>
    <row r="1027" spans="13:28" s="308" customFormat="1" x14ac:dyDescent="0.2">
      <c r="M1027" s="309"/>
      <c r="AB1027" s="310"/>
    </row>
    <row r="1028" spans="13:28" s="308" customFormat="1" x14ac:dyDescent="0.2">
      <c r="M1028" s="309"/>
      <c r="AB1028" s="310"/>
    </row>
    <row r="1029" spans="13:28" s="308" customFormat="1" x14ac:dyDescent="0.2">
      <c r="M1029" s="309"/>
      <c r="AB1029" s="310"/>
    </row>
    <row r="1030" spans="13:28" s="308" customFormat="1" x14ac:dyDescent="0.2">
      <c r="M1030" s="309"/>
      <c r="AB1030" s="310"/>
    </row>
    <row r="1031" spans="13:28" s="308" customFormat="1" x14ac:dyDescent="0.2">
      <c r="M1031" s="309"/>
      <c r="AB1031" s="310"/>
    </row>
    <row r="1032" spans="13:28" s="308" customFormat="1" x14ac:dyDescent="0.2">
      <c r="M1032" s="309"/>
      <c r="AB1032" s="310"/>
    </row>
    <row r="1033" spans="13:28" s="308" customFormat="1" x14ac:dyDescent="0.2">
      <c r="M1033" s="309"/>
      <c r="AB1033" s="310"/>
    </row>
    <row r="1034" spans="13:28" s="308" customFormat="1" x14ac:dyDescent="0.2">
      <c r="M1034" s="309"/>
      <c r="AB1034" s="310"/>
    </row>
    <row r="1035" spans="13:28" s="308" customFormat="1" x14ac:dyDescent="0.2">
      <c r="M1035" s="309"/>
      <c r="AB1035" s="310"/>
    </row>
    <row r="1036" spans="13:28" s="308" customFormat="1" x14ac:dyDescent="0.2">
      <c r="M1036" s="309"/>
      <c r="AB1036" s="310"/>
    </row>
    <row r="1037" spans="13:28" s="308" customFormat="1" x14ac:dyDescent="0.2">
      <c r="M1037" s="309"/>
      <c r="AB1037" s="310"/>
    </row>
    <row r="1038" spans="13:28" s="308" customFormat="1" x14ac:dyDescent="0.2">
      <c r="M1038" s="309"/>
      <c r="AB1038" s="310"/>
    </row>
    <row r="1039" spans="13:28" s="308" customFormat="1" x14ac:dyDescent="0.2">
      <c r="M1039" s="309"/>
      <c r="AB1039" s="310"/>
    </row>
    <row r="1040" spans="13:28" s="308" customFormat="1" x14ac:dyDescent="0.2">
      <c r="M1040" s="309"/>
      <c r="AB1040" s="310"/>
    </row>
    <row r="1041" spans="13:28" s="308" customFormat="1" x14ac:dyDescent="0.2">
      <c r="M1041" s="309"/>
      <c r="AB1041" s="310"/>
    </row>
    <row r="1042" spans="13:28" s="308" customFormat="1" x14ac:dyDescent="0.2">
      <c r="M1042" s="309"/>
      <c r="AB1042" s="310"/>
    </row>
    <row r="1043" spans="13:28" s="308" customFormat="1" x14ac:dyDescent="0.2">
      <c r="M1043" s="309"/>
      <c r="AB1043" s="310"/>
    </row>
    <row r="1044" spans="13:28" s="308" customFormat="1" x14ac:dyDescent="0.2">
      <c r="M1044" s="309"/>
      <c r="AB1044" s="310"/>
    </row>
    <row r="1045" spans="13:28" s="308" customFormat="1" x14ac:dyDescent="0.2">
      <c r="M1045" s="309"/>
      <c r="AB1045" s="310"/>
    </row>
    <row r="1046" spans="13:28" s="308" customFormat="1" x14ac:dyDescent="0.2">
      <c r="M1046" s="309"/>
      <c r="AB1046" s="310"/>
    </row>
    <row r="1047" spans="13:28" s="308" customFormat="1" x14ac:dyDescent="0.2">
      <c r="M1047" s="309"/>
      <c r="AB1047" s="310"/>
    </row>
    <row r="1048" spans="13:28" s="308" customFormat="1" x14ac:dyDescent="0.2">
      <c r="M1048" s="309"/>
      <c r="AB1048" s="310"/>
    </row>
    <row r="1049" spans="13:28" s="308" customFormat="1" x14ac:dyDescent="0.2">
      <c r="M1049" s="309"/>
      <c r="AB1049" s="310"/>
    </row>
    <row r="1050" spans="13:28" s="308" customFormat="1" x14ac:dyDescent="0.2">
      <c r="M1050" s="309"/>
      <c r="AB1050" s="310"/>
    </row>
    <row r="1051" spans="13:28" s="308" customFormat="1" x14ac:dyDescent="0.2">
      <c r="M1051" s="309"/>
      <c r="AB1051" s="310"/>
    </row>
    <row r="1052" spans="13:28" s="308" customFormat="1" x14ac:dyDescent="0.2">
      <c r="M1052" s="309"/>
      <c r="AB1052" s="310"/>
    </row>
    <row r="1053" spans="13:28" s="308" customFormat="1" x14ac:dyDescent="0.2">
      <c r="M1053" s="309"/>
      <c r="AB1053" s="310"/>
    </row>
    <row r="1054" spans="13:28" s="308" customFormat="1" x14ac:dyDescent="0.2">
      <c r="M1054" s="309"/>
      <c r="AB1054" s="310"/>
    </row>
    <row r="1055" spans="13:28" s="308" customFormat="1" x14ac:dyDescent="0.2">
      <c r="M1055" s="309"/>
      <c r="AB1055" s="310"/>
    </row>
    <row r="1056" spans="13:28" s="308" customFormat="1" x14ac:dyDescent="0.2">
      <c r="M1056" s="309"/>
      <c r="AB1056" s="310"/>
    </row>
    <row r="1057" spans="13:28" s="308" customFormat="1" x14ac:dyDescent="0.2">
      <c r="M1057" s="309"/>
      <c r="AB1057" s="310"/>
    </row>
    <row r="1058" spans="13:28" s="308" customFormat="1" x14ac:dyDescent="0.2">
      <c r="M1058" s="309"/>
      <c r="AB1058" s="310"/>
    </row>
    <row r="1059" spans="13:28" s="308" customFormat="1" x14ac:dyDescent="0.2">
      <c r="M1059" s="309"/>
      <c r="AB1059" s="310"/>
    </row>
    <row r="1060" spans="13:28" s="308" customFormat="1" x14ac:dyDescent="0.2">
      <c r="M1060" s="309"/>
      <c r="AB1060" s="310"/>
    </row>
    <row r="1061" spans="13:28" s="308" customFormat="1" x14ac:dyDescent="0.2">
      <c r="M1061" s="309"/>
      <c r="AB1061" s="310"/>
    </row>
    <row r="1062" spans="13:28" s="308" customFormat="1" x14ac:dyDescent="0.2">
      <c r="M1062" s="309"/>
      <c r="AB1062" s="310"/>
    </row>
    <row r="1063" spans="13:28" s="308" customFormat="1" x14ac:dyDescent="0.2">
      <c r="M1063" s="309"/>
      <c r="AB1063" s="310"/>
    </row>
    <row r="1064" spans="13:28" s="308" customFormat="1" x14ac:dyDescent="0.2">
      <c r="M1064" s="309"/>
      <c r="AB1064" s="310"/>
    </row>
    <row r="1065" spans="13:28" s="308" customFormat="1" x14ac:dyDescent="0.2">
      <c r="M1065" s="309"/>
      <c r="AB1065" s="310"/>
    </row>
    <row r="1066" spans="13:28" s="308" customFormat="1" x14ac:dyDescent="0.2">
      <c r="M1066" s="309"/>
      <c r="AB1066" s="310"/>
    </row>
    <row r="1067" spans="13:28" s="308" customFormat="1" x14ac:dyDescent="0.2">
      <c r="M1067" s="309"/>
      <c r="AB1067" s="310"/>
    </row>
    <row r="1068" spans="13:28" s="308" customFormat="1" x14ac:dyDescent="0.2">
      <c r="M1068" s="309"/>
      <c r="AB1068" s="310"/>
    </row>
    <row r="1069" spans="13:28" s="308" customFormat="1" x14ac:dyDescent="0.2">
      <c r="M1069" s="309"/>
      <c r="AB1069" s="310"/>
    </row>
    <row r="1070" spans="13:28" s="308" customFormat="1" x14ac:dyDescent="0.2">
      <c r="M1070" s="309"/>
      <c r="AB1070" s="310"/>
    </row>
    <row r="1071" spans="13:28" s="308" customFormat="1" x14ac:dyDescent="0.2">
      <c r="M1071" s="309"/>
      <c r="AB1071" s="310"/>
    </row>
    <row r="1072" spans="13:28" s="308" customFormat="1" x14ac:dyDescent="0.2">
      <c r="M1072" s="309"/>
      <c r="AB1072" s="310"/>
    </row>
    <row r="1073" spans="13:28" s="308" customFormat="1" x14ac:dyDescent="0.2">
      <c r="M1073" s="309"/>
      <c r="AB1073" s="310"/>
    </row>
    <row r="1074" spans="13:28" s="308" customFormat="1" x14ac:dyDescent="0.2">
      <c r="M1074" s="309"/>
      <c r="AB1074" s="310"/>
    </row>
    <row r="1075" spans="13:28" s="308" customFormat="1" x14ac:dyDescent="0.2">
      <c r="M1075" s="309"/>
      <c r="AB1075" s="310"/>
    </row>
    <row r="1076" spans="13:28" s="308" customFormat="1" x14ac:dyDescent="0.2">
      <c r="M1076" s="309"/>
      <c r="AB1076" s="310"/>
    </row>
    <row r="1077" spans="13:28" s="308" customFormat="1" x14ac:dyDescent="0.2">
      <c r="M1077" s="309"/>
      <c r="AB1077" s="310"/>
    </row>
    <row r="1078" spans="13:28" s="308" customFormat="1" x14ac:dyDescent="0.2">
      <c r="M1078" s="309"/>
      <c r="AB1078" s="310"/>
    </row>
    <row r="1079" spans="13:28" s="308" customFormat="1" x14ac:dyDescent="0.2">
      <c r="M1079" s="309"/>
      <c r="AB1079" s="310"/>
    </row>
    <row r="1080" spans="13:28" s="308" customFormat="1" x14ac:dyDescent="0.2">
      <c r="M1080" s="309"/>
      <c r="AB1080" s="310"/>
    </row>
    <row r="1081" spans="13:28" s="308" customFormat="1" x14ac:dyDescent="0.2">
      <c r="M1081" s="309"/>
      <c r="AB1081" s="310"/>
    </row>
    <row r="1082" spans="13:28" s="308" customFormat="1" x14ac:dyDescent="0.2">
      <c r="M1082" s="309"/>
      <c r="AB1082" s="310"/>
    </row>
    <row r="1083" spans="13:28" s="308" customFormat="1" x14ac:dyDescent="0.2">
      <c r="M1083" s="309"/>
      <c r="AB1083" s="310"/>
    </row>
    <row r="1084" spans="13:28" s="308" customFormat="1" x14ac:dyDescent="0.2">
      <c r="M1084" s="309"/>
      <c r="AB1084" s="310"/>
    </row>
    <row r="1085" spans="13:28" s="308" customFormat="1" x14ac:dyDescent="0.2">
      <c r="M1085" s="309"/>
      <c r="AB1085" s="310"/>
    </row>
    <row r="1086" spans="13:28" s="308" customFormat="1" x14ac:dyDescent="0.2">
      <c r="M1086" s="309"/>
      <c r="AB1086" s="310"/>
    </row>
    <row r="1087" spans="13:28" s="308" customFormat="1" x14ac:dyDescent="0.2">
      <c r="M1087" s="309"/>
      <c r="AB1087" s="310"/>
    </row>
    <row r="1088" spans="13:28" s="308" customFormat="1" x14ac:dyDescent="0.2">
      <c r="M1088" s="309"/>
      <c r="AB1088" s="310"/>
    </row>
    <row r="1089" spans="13:28" s="308" customFormat="1" x14ac:dyDescent="0.2">
      <c r="M1089" s="309"/>
      <c r="AB1089" s="310"/>
    </row>
    <row r="1090" spans="13:28" s="308" customFormat="1" x14ac:dyDescent="0.2">
      <c r="M1090" s="309"/>
      <c r="AB1090" s="310"/>
    </row>
    <row r="1091" spans="13:28" s="308" customFormat="1" x14ac:dyDescent="0.2">
      <c r="M1091" s="309"/>
      <c r="AB1091" s="310"/>
    </row>
    <row r="1092" spans="13:28" s="308" customFormat="1" x14ac:dyDescent="0.2">
      <c r="M1092" s="309"/>
      <c r="AB1092" s="310"/>
    </row>
    <row r="1093" spans="13:28" s="308" customFormat="1" x14ac:dyDescent="0.2">
      <c r="M1093" s="309"/>
      <c r="AB1093" s="310"/>
    </row>
    <row r="1094" spans="13:28" s="308" customFormat="1" x14ac:dyDescent="0.2">
      <c r="M1094" s="309"/>
      <c r="AB1094" s="310"/>
    </row>
    <row r="1095" spans="13:28" s="308" customFormat="1" x14ac:dyDescent="0.2">
      <c r="M1095" s="309"/>
      <c r="AB1095" s="310"/>
    </row>
    <row r="1096" spans="13:28" s="308" customFormat="1" x14ac:dyDescent="0.2">
      <c r="M1096" s="309"/>
      <c r="AB1096" s="310"/>
    </row>
    <row r="1097" spans="13:28" s="308" customFormat="1" x14ac:dyDescent="0.2">
      <c r="M1097" s="309"/>
      <c r="AB1097" s="310"/>
    </row>
    <row r="1098" spans="13:28" s="308" customFormat="1" x14ac:dyDescent="0.2">
      <c r="M1098" s="309"/>
      <c r="AB1098" s="310"/>
    </row>
    <row r="1099" spans="13:28" s="308" customFormat="1" x14ac:dyDescent="0.2">
      <c r="M1099" s="309"/>
      <c r="AB1099" s="310"/>
    </row>
    <row r="1100" spans="13:28" s="308" customFormat="1" x14ac:dyDescent="0.2">
      <c r="M1100" s="309"/>
      <c r="AB1100" s="310"/>
    </row>
    <row r="1101" spans="13:28" s="308" customFormat="1" x14ac:dyDescent="0.2">
      <c r="M1101" s="309"/>
      <c r="AB1101" s="310"/>
    </row>
    <row r="1102" spans="13:28" s="308" customFormat="1" x14ac:dyDescent="0.2">
      <c r="M1102" s="309"/>
      <c r="AB1102" s="310"/>
    </row>
    <row r="1103" spans="13:28" s="308" customFormat="1" x14ac:dyDescent="0.2">
      <c r="M1103" s="309"/>
      <c r="AB1103" s="310"/>
    </row>
    <row r="1104" spans="13:28" s="308" customFormat="1" x14ac:dyDescent="0.2">
      <c r="M1104" s="309"/>
      <c r="AB1104" s="310"/>
    </row>
    <row r="1105" spans="13:28" s="308" customFormat="1" x14ac:dyDescent="0.2">
      <c r="M1105" s="309"/>
      <c r="AB1105" s="310"/>
    </row>
    <row r="1106" spans="13:28" s="308" customFormat="1" x14ac:dyDescent="0.2">
      <c r="M1106" s="309"/>
      <c r="AB1106" s="310"/>
    </row>
    <row r="1107" spans="13:28" s="308" customFormat="1" x14ac:dyDescent="0.2">
      <c r="M1107" s="309"/>
      <c r="AB1107" s="310"/>
    </row>
    <row r="1108" spans="13:28" s="308" customFormat="1" x14ac:dyDescent="0.2">
      <c r="M1108" s="309"/>
      <c r="AB1108" s="310"/>
    </row>
    <row r="1109" spans="13:28" s="308" customFormat="1" x14ac:dyDescent="0.2">
      <c r="M1109" s="309"/>
      <c r="AB1109" s="310"/>
    </row>
    <row r="1110" spans="13:28" s="308" customFormat="1" x14ac:dyDescent="0.2">
      <c r="M1110" s="309"/>
      <c r="AB1110" s="310"/>
    </row>
    <row r="1111" spans="13:28" s="308" customFormat="1" x14ac:dyDescent="0.2">
      <c r="M1111" s="309"/>
      <c r="AB1111" s="310"/>
    </row>
    <row r="1112" spans="13:28" s="308" customFormat="1" x14ac:dyDescent="0.2">
      <c r="M1112" s="309"/>
      <c r="AB1112" s="310"/>
    </row>
    <row r="1113" spans="13:28" s="308" customFormat="1" x14ac:dyDescent="0.2">
      <c r="M1113" s="309"/>
      <c r="AB1113" s="310"/>
    </row>
    <row r="1114" spans="13:28" s="308" customFormat="1" x14ac:dyDescent="0.2">
      <c r="M1114" s="309"/>
      <c r="AB1114" s="310"/>
    </row>
    <row r="1115" spans="13:28" s="308" customFormat="1" x14ac:dyDescent="0.2">
      <c r="M1115" s="309"/>
      <c r="AB1115" s="310"/>
    </row>
    <row r="1116" spans="13:28" s="308" customFormat="1" x14ac:dyDescent="0.2">
      <c r="M1116" s="309"/>
      <c r="AB1116" s="310"/>
    </row>
    <row r="1117" spans="13:28" s="308" customFormat="1" x14ac:dyDescent="0.2">
      <c r="M1117" s="309"/>
      <c r="AB1117" s="310"/>
    </row>
    <row r="1118" spans="13:28" s="308" customFormat="1" x14ac:dyDescent="0.2">
      <c r="M1118" s="309"/>
      <c r="AB1118" s="310"/>
    </row>
    <row r="1119" spans="13:28" s="308" customFormat="1" x14ac:dyDescent="0.2">
      <c r="M1119" s="309"/>
      <c r="AB1119" s="310"/>
    </row>
    <row r="1120" spans="13:28" s="308" customFormat="1" x14ac:dyDescent="0.2">
      <c r="M1120" s="309"/>
      <c r="AB1120" s="310"/>
    </row>
    <row r="1121" spans="13:28" s="308" customFormat="1" x14ac:dyDescent="0.2">
      <c r="M1121" s="309"/>
      <c r="AB1121" s="310"/>
    </row>
    <row r="1122" spans="13:28" s="308" customFormat="1" x14ac:dyDescent="0.2">
      <c r="M1122" s="309"/>
      <c r="AB1122" s="310"/>
    </row>
    <row r="1123" spans="13:28" s="308" customFormat="1" x14ac:dyDescent="0.2">
      <c r="M1123" s="309"/>
      <c r="AB1123" s="310"/>
    </row>
    <row r="1124" spans="13:28" s="308" customFormat="1" x14ac:dyDescent="0.2">
      <c r="M1124" s="309"/>
      <c r="AB1124" s="310"/>
    </row>
    <row r="1125" spans="13:28" s="308" customFormat="1" x14ac:dyDescent="0.2">
      <c r="M1125" s="309"/>
      <c r="AB1125" s="310"/>
    </row>
    <row r="1126" spans="13:28" s="308" customFormat="1" x14ac:dyDescent="0.2">
      <c r="M1126" s="309"/>
      <c r="AB1126" s="310"/>
    </row>
    <row r="1127" spans="13:28" s="308" customFormat="1" x14ac:dyDescent="0.2">
      <c r="M1127" s="309"/>
      <c r="AB1127" s="310"/>
    </row>
    <row r="1128" spans="13:28" s="308" customFormat="1" x14ac:dyDescent="0.2">
      <c r="M1128" s="309"/>
      <c r="AB1128" s="310"/>
    </row>
    <row r="1129" spans="13:28" s="308" customFormat="1" x14ac:dyDescent="0.2">
      <c r="M1129" s="309"/>
      <c r="AB1129" s="310"/>
    </row>
    <row r="1130" spans="13:28" s="308" customFormat="1" x14ac:dyDescent="0.2">
      <c r="M1130" s="309"/>
      <c r="AB1130" s="310"/>
    </row>
    <row r="1131" spans="13:28" s="308" customFormat="1" x14ac:dyDescent="0.2">
      <c r="M1131" s="309"/>
      <c r="AB1131" s="310"/>
    </row>
    <row r="1132" spans="13:28" s="308" customFormat="1" x14ac:dyDescent="0.2">
      <c r="M1132" s="309"/>
      <c r="AB1132" s="310"/>
    </row>
    <row r="1133" spans="13:28" s="308" customFormat="1" x14ac:dyDescent="0.2">
      <c r="M1133" s="309"/>
      <c r="AB1133" s="310"/>
    </row>
    <row r="1134" spans="13:28" s="308" customFormat="1" x14ac:dyDescent="0.2">
      <c r="M1134" s="309"/>
      <c r="AB1134" s="310"/>
    </row>
    <row r="1135" spans="13:28" s="308" customFormat="1" x14ac:dyDescent="0.2">
      <c r="M1135" s="309"/>
      <c r="AB1135" s="310"/>
    </row>
    <row r="1136" spans="13:28" s="308" customFormat="1" x14ac:dyDescent="0.2">
      <c r="M1136" s="309"/>
      <c r="AB1136" s="310"/>
    </row>
    <row r="1137" spans="13:28" s="308" customFormat="1" x14ac:dyDescent="0.2">
      <c r="M1137" s="309"/>
      <c r="AB1137" s="310"/>
    </row>
    <row r="1138" spans="13:28" s="308" customFormat="1" x14ac:dyDescent="0.2">
      <c r="M1138" s="309"/>
      <c r="AB1138" s="310"/>
    </row>
    <row r="1139" spans="13:28" s="308" customFormat="1" x14ac:dyDescent="0.2">
      <c r="M1139" s="309"/>
      <c r="AB1139" s="310"/>
    </row>
    <row r="1140" spans="13:28" s="308" customFormat="1" x14ac:dyDescent="0.2">
      <c r="M1140" s="309"/>
      <c r="AB1140" s="310"/>
    </row>
    <row r="1141" spans="13:28" s="308" customFormat="1" x14ac:dyDescent="0.2">
      <c r="M1141" s="309"/>
      <c r="AB1141" s="310"/>
    </row>
    <row r="1142" spans="13:28" s="308" customFormat="1" x14ac:dyDescent="0.2">
      <c r="M1142" s="309"/>
      <c r="AB1142" s="310"/>
    </row>
    <row r="1143" spans="13:28" s="308" customFormat="1" x14ac:dyDescent="0.2">
      <c r="M1143" s="309"/>
      <c r="AB1143" s="310"/>
    </row>
    <row r="1144" spans="13:28" s="308" customFormat="1" x14ac:dyDescent="0.2">
      <c r="M1144" s="309"/>
      <c r="AB1144" s="310"/>
    </row>
    <row r="1145" spans="13:28" s="308" customFormat="1" x14ac:dyDescent="0.2">
      <c r="M1145" s="309"/>
      <c r="AB1145" s="310"/>
    </row>
    <row r="1146" spans="13:28" s="308" customFormat="1" x14ac:dyDescent="0.2">
      <c r="M1146" s="309"/>
      <c r="AB1146" s="310"/>
    </row>
    <row r="1147" spans="13:28" s="308" customFormat="1" x14ac:dyDescent="0.2">
      <c r="M1147" s="309"/>
      <c r="AB1147" s="310"/>
    </row>
    <row r="1148" spans="13:28" s="308" customFormat="1" x14ac:dyDescent="0.2">
      <c r="M1148" s="309"/>
      <c r="AB1148" s="310"/>
    </row>
    <row r="1149" spans="13:28" s="308" customFormat="1" x14ac:dyDescent="0.2">
      <c r="M1149" s="309"/>
      <c r="AB1149" s="310"/>
    </row>
    <row r="1150" spans="13:28" s="308" customFormat="1" x14ac:dyDescent="0.2">
      <c r="M1150" s="309"/>
      <c r="AB1150" s="310"/>
    </row>
    <row r="1151" spans="13:28" s="308" customFormat="1" x14ac:dyDescent="0.2">
      <c r="M1151" s="309"/>
      <c r="AB1151" s="310"/>
    </row>
    <row r="1152" spans="13:28" s="308" customFormat="1" x14ac:dyDescent="0.2">
      <c r="M1152" s="309"/>
      <c r="AB1152" s="310"/>
    </row>
    <row r="1153" spans="13:28" s="308" customFormat="1" x14ac:dyDescent="0.2">
      <c r="M1153" s="309"/>
      <c r="AB1153" s="310"/>
    </row>
    <row r="1154" spans="13:28" s="308" customFormat="1" x14ac:dyDescent="0.2">
      <c r="M1154" s="309"/>
      <c r="AB1154" s="310"/>
    </row>
    <row r="1155" spans="13:28" s="308" customFormat="1" x14ac:dyDescent="0.2">
      <c r="M1155" s="309"/>
      <c r="AB1155" s="310"/>
    </row>
    <row r="1156" spans="13:28" s="308" customFormat="1" x14ac:dyDescent="0.2">
      <c r="M1156" s="309"/>
      <c r="AB1156" s="310"/>
    </row>
    <row r="1157" spans="13:28" s="308" customFormat="1" x14ac:dyDescent="0.2">
      <c r="M1157" s="309"/>
      <c r="AB1157" s="310"/>
    </row>
    <row r="1158" spans="13:28" s="308" customFormat="1" x14ac:dyDescent="0.2">
      <c r="M1158" s="309"/>
      <c r="AB1158" s="310"/>
    </row>
    <row r="1159" spans="13:28" s="308" customFormat="1" x14ac:dyDescent="0.2">
      <c r="M1159" s="309"/>
      <c r="AB1159" s="310"/>
    </row>
    <row r="1160" spans="13:28" s="308" customFormat="1" x14ac:dyDescent="0.2">
      <c r="M1160" s="309"/>
      <c r="AB1160" s="310"/>
    </row>
    <row r="1161" spans="13:28" s="308" customFormat="1" x14ac:dyDescent="0.2">
      <c r="M1161" s="309"/>
      <c r="AB1161" s="310"/>
    </row>
    <row r="1162" spans="13:28" s="308" customFormat="1" x14ac:dyDescent="0.2">
      <c r="M1162" s="309"/>
      <c r="AB1162" s="310"/>
    </row>
    <row r="1163" spans="13:28" s="308" customFormat="1" x14ac:dyDescent="0.2">
      <c r="M1163" s="309"/>
      <c r="AB1163" s="310"/>
    </row>
    <row r="1164" spans="13:28" s="308" customFormat="1" x14ac:dyDescent="0.2">
      <c r="M1164" s="309"/>
      <c r="AB1164" s="310"/>
    </row>
    <row r="1165" spans="13:28" s="308" customFormat="1" x14ac:dyDescent="0.2">
      <c r="M1165" s="309"/>
      <c r="AB1165" s="310"/>
    </row>
    <row r="1166" spans="13:28" s="308" customFormat="1" x14ac:dyDescent="0.2">
      <c r="M1166" s="309"/>
      <c r="AB1166" s="310"/>
    </row>
    <row r="1167" spans="13:28" s="308" customFormat="1" x14ac:dyDescent="0.2">
      <c r="M1167" s="309"/>
      <c r="AB1167" s="310"/>
    </row>
    <row r="1168" spans="13:28" s="308" customFormat="1" x14ac:dyDescent="0.2">
      <c r="M1168" s="309"/>
      <c r="AB1168" s="310"/>
    </row>
    <row r="1169" spans="13:28" s="308" customFormat="1" x14ac:dyDescent="0.2">
      <c r="M1169" s="309"/>
      <c r="AB1169" s="310"/>
    </row>
    <row r="1170" spans="13:28" s="308" customFormat="1" x14ac:dyDescent="0.2">
      <c r="M1170" s="309"/>
      <c r="AB1170" s="310"/>
    </row>
    <row r="1171" spans="13:28" s="308" customFormat="1" x14ac:dyDescent="0.2">
      <c r="M1171" s="309"/>
      <c r="AB1171" s="310"/>
    </row>
    <row r="1172" spans="13:28" s="308" customFormat="1" x14ac:dyDescent="0.2">
      <c r="M1172" s="309"/>
      <c r="AB1172" s="310"/>
    </row>
    <row r="1173" spans="13:28" s="308" customFormat="1" x14ac:dyDescent="0.2">
      <c r="M1173" s="309"/>
      <c r="AB1173" s="310"/>
    </row>
    <row r="1174" spans="13:28" s="308" customFormat="1" x14ac:dyDescent="0.2">
      <c r="M1174" s="309"/>
      <c r="AB1174" s="310"/>
    </row>
    <row r="1175" spans="13:28" s="308" customFormat="1" x14ac:dyDescent="0.2">
      <c r="M1175" s="309"/>
      <c r="AB1175" s="310"/>
    </row>
    <row r="1176" spans="13:28" s="308" customFormat="1" x14ac:dyDescent="0.2">
      <c r="M1176" s="309"/>
      <c r="AB1176" s="310"/>
    </row>
    <row r="1177" spans="13:28" s="308" customFormat="1" x14ac:dyDescent="0.2">
      <c r="M1177" s="309"/>
      <c r="AB1177" s="310"/>
    </row>
    <row r="1178" spans="13:28" s="308" customFormat="1" x14ac:dyDescent="0.2">
      <c r="M1178" s="309"/>
      <c r="AB1178" s="310"/>
    </row>
    <row r="1179" spans="13:28" s="308" customFormat="1" x14ac:dyDescent="0.2">
      <c r="M1179" s="309"/>
      <c r="AB1179" s="310"/>
    </row>
    <row r="1180" spans="13:28" s="308" customFormat="1" x14ac:dyDescent="0.2">
      <c r="M1180" s="309"/>
      <c r="AB1180" s="310"/>
    </row>
    <row r="1181" spans="13:28" s="308" customFormat="1" x14ac:dyDescent="0.2">
      <c r="M1181" s="309"/>
      <c r="AB1181" s="310"/>
    </row>
    <row r="1182" spans="13:28" s="308" customFormat="1" x14ac:dyDescent="0.2">
      <c r="M1182" s="309"/>
      <c r="AB1182" s="310"/>
    </row>
    <row r="1183" spans="13:28" s="308" customFormat="1" x14ac:dyDescent="0.2">
      <c r="M1183" s="309"/>
      <c r="AB1183" s="310"/>
    </row>
    <row r="1184" spans="13:28" s="308" customFormat="1" x14ac:dyDescent="0.2">
      <c r="M1184" s="309"/>
      <c r="AB1184" s="310"/>
    </row>
    <row r="1185" spans="13:28" s="308" customFormat="1" x14ac:dyDescent="0.2">
      <c r="M1185" s="309"/>
      <c r="AB1185" s="310"/>
    </row>
    <row r="1186" spans="13:28" s="308" customFormat="1" x14ac:dyDescent="0.2">
      <c r="M1186" s="309"/>
      <c r="AB1186" s="310"/>
    </row>
    <row r="1187" spans="13:28" s="308" customFormat="1" x14ac:dyDescent="0.2">
      <c r="M1187" s="309"/>
      <c r="AB1187" s="310"/>
    </row>
    <row r="1188" spans="13:28" s="308" customFormat="1" x14ac:dyDescent="0.2">
      <c r="M1188" s="309"/>
      <c r="AB1188" s="310"/>
    </row>
    <row r="1189" spans="13:28" s="308" customFormat="1" x14ac:dyDescent="0.2">
      <c r="M1189" s="309"/>
      <c r="AB1189" s="310"/>
    </row>
    <row r="1190" spans="13:28" s="308" customFormat="1" x14ac:dyDescent="0.2">
      <c r="M1190" s="309"/>
      <c r="AB1190" s="310"/>
    </row>
    <row r="1191" spans="13:28" s="308" customFormat="1" x14ac:dyDescent="0.2">
      <c r="M1191" s="309"/>
      <c r="AB1191" s="310"/>
    </row>
    <row r="1192" spans="13:28" s="308" customFormat="1" x14ac:dyDescent="0.2">
      <c r="M1192" s="309"/>
      <c r="AB1192" s="310"/>
    </row>
    <row r="1193" spans="13:28" s="308" customFormat="1" x14ac:dyDescent="0.2">
      <c r="M1193" s="309"/>
      <c r="AB1193" s="310"/>
    </row>
    <row r="1194" spans="13:28" s="308" customFormat="1" x14ac:dyDescent="0.2">
      <c r="M1194" s="309"/>
      <c r="AB1194" s="310"/>
    </row>
    <row r="1195" spans="13:28" s="308" customFormat="1" x14ac:dyDescent="0.2">
      <c r="M1195" s="309"/>
      <c r="AB1195" s="310"/>
    </row>
    <row r="1196" spans="13:28" s="308" customFormat="1" x14ac:dyDescent="0.2">
      <c r="M1196" s="309"/>
      <c r="AB1196" s="310"/>
    </row>
    <row r="1197" spans="13:28" s="308" customFormat="1" x14ac:dyDescent="0.2">
      <c r="M1197" s="309"/>
      <c r="AB1197" s="310"/>
    </row>
    <row r="1198" spans="13:28" s="308" customFormat="1" x14ac:dyDescent="0.2">
      <c r="M1198" s="309"/>
      <c r="AB1198" s="310"/>
    </row>
    <row r="1199" spans="13:28" s="308" customFormat="1" x14ac:dyDescent="0.2">
      <c r="M1199" s="309"/>
      <c r="AB1199" s="310"/>
    </row>
    <row r="1200" spans="13:28" s="308" customFormat="1" x14ac:dyDescent="0.2">
      <c r="M1200" s="309"/>
      <c r="AB1200" s="310"/>
    </row>
    <row r="1201" spans="13:28" s="308" customFormat="1" x14ac:dyDescent="0.2">
      <c r="M1201" s="309"/>
      <c r="AB1201" s="310"/>
    </row>
    <row r="1202" spans="13:28" s="308" customFormat="1" x14ac:dyDescent="0.2">
      <c r="M1202" s="309"/>
      <c r="AB1202" s="310"/>
    </row>
    <row r="1203" spans="13:28" s="308" customFormat="1" x14ac:dyDescent="0.2">
      <c r="M1203" s="309"/>
      <c r="AB1203" s="310"/>
    </row>
    <row r="1204" spans="13:28" s="308" customFormat="1" x14ac:dyDescent="0.2">
      <c r="M1204" s="309"/>
      <c r="AB1204" s="310"/>
    </row>
    <row r="1205" spans="13:28" s="308" customFormat="1" x14ac:dyDescent="0.2">
      <c r="M1205" s="309"/>
      <c r="AB1205" s="310"/>
    </row>
    <row r="1206" spans="13:28" s="308" customFormat="1" x14ac:dyDescent="0.2">
      <c r="M1206" s="309"/>
      <c r="AB1206" s="310"/>
    </row>
    <row r="1207" spans="13:28" s="308" customFormat="1" x14ac:dyDescent="0.2">
      <c r="M1207" s="309"/>
      <c r="AB1207" s="310"/>
    </row>
    <row r="1208" spans="13:28" s="308" customFormat="1" x14ac:dyDescent="0.2">
      <c r="M1208" s="309"/>
      <c r="AB1208" s="310"/>
    </row>
    <row r="1209" spans="13:28" s="308" customFormat="1" x14ac:dyDescent="0.2">
      <c r="M1209" s="309"/>
      <c r="AB1209" s="310"/>
    </row>
    <row r="1210" spans="13:28" s="308" customFormat="1" x14ac:dyDescent="0.2">
      <c r="M1210" s="309"/>
      <c r="AB1210" s="310"/>
    </row>
    <row r="1211" spans="13:28" s="308" customFormat="1" x14ac:dyDescent="0.2">
      <c r="M1211" s="309"/>
      <c r="AB1211" s="310"/>
    </row>
    <row r="1212" spans="13:28" s="308" customFormat="1" x14ac:dyDescent="0.2">
      <c r="M1212" s="309"/>
      <c r="AB1212" s="310"/>
    </row>
    <row r="1213" spans="13:28" s="308" customFormat="1" x14ac:dyDescent="0.2">
      <c r="M1213" s="309"/>
      <c r="AB1213" s="310"/>
    </row>
    <row r="1214" spans="13:28" s="308" customFormat="1" x14ac:dyDescent="0.2">
      <c r="M1214" s="309"/>
      <c r="AB1214" s="310"/>
    </row>
    <row r="1215" spans="13:28" s="308" customFormat="1" x14ac:dyDescent="0.2">
      <c r="M1215" s="309"/>
      <c r="AB1215" s="310"/>
    </row>
    <row r="1216" spans="13:28" s="308" customFormat="1" x14ac:dyDescent="0.2">
      <c r="M1216" s="309"/>
      <c r="AB1216" s="310"/>
    </row>
    <row r="1217" spans="13:28" s="308" customFormat="1" x14ac:dyDescent="0.2">
      <c r="M1217" s="309"/>
      <c r="AB1217" s="310"/>
    </row>
    <row r="1218" spans="13:28" s="308" customFormat="1" x14ac:dyDescent="0.2">
      <c r="M1218" s="309"/>
      <c r="AB1218" s="310"/>
    </row>
    <row r="1219" spans="13:28" s="308" customFormat="1" x14ac:dyDescent="0.2">
      <c r="M1219" s="309"/>
      <c r="AB1219" s="310"/>
    </row>
    <row r="1220" spans="13:28" s="308" customFormat="1" x14ac:dyDescent="0.2">
      <c r="M1220" s="309"/>
      <c r="AB1220" s="310"/>
    </row>
    <row r="1221" spans="13:28" s="308" customFormat="1" x14ac:dyDescent="0.2">
      <c r="M1221" s="309"/>
      <c r="AB1221" s="310"/>
    </row>
    <row r="1222" spans="13:28" s="308" customFormat="1" x14ac:dyDescent="0.2">
      <c r="M1222" s="309"/>
      <c r="AB1222" s="310"/>
    </row>
    <row r="1223" spans="13:28" s="308" customFormat="1" x14ac:dyDescent="0.2">
      <c r="M1223" s="309"/>
      <c r="AB1223" s="310"/>
    </row>
    <row r="1224" spans="13:28" s="308" customFormat="1" x14ac:dyDescent="0.2">
      <c r="M1224" s="309"/>
      <c r="AB1224" s="310"/>
    </row>
    <row r="1225" spans="13:28" s="308" customFormat="1" x14ac:dyDescent="0.2">
      <c r="M1225" s="309"/>
      <c r="AB1225" s="310"/>
    </row>
    <row r="1226" spans="13:28" s="308" customFormat="1" x14ac:dyDescent="0.2">
      <c r="M1226" s="309"/>
      <c r="AB1226" s="310"/>
    </row>
    <row r="1227" spans="13:28" s="308" customFormat="1" x14ac:dyDescent="0.2">
      <c r="M1227" s="309"/>
      <c r="AB1227" s="310"/>
    </row>
    <row r="1228" spans="13:28" s="308" customFormat="1" x14ac:dyDescent="0.2">
      <c r="M1228" s="309"/>
      <c r="AB1228" s="310"/>
    </row>
    <row r="1229" spans="13:28" s="308" customFormat="1" x14ac:dyDescent="0.2">
      <c r="M1229" s="309"/>
      <c r="AB1229" s="310"/>
    </row>
    <row r="1230" spans="13:28" s="308" customFormat="1" x14ac:dyDescent="0.2">
      <c r="M1230" s="309"/>
      <c r="AB1230" s="310"/>
    </row>
    <row r="1231" spans="13:28" s="308" customFormat="1" x14ac:dyDescent="0.2">
      <c r="M1231" s="309"/>
      <c r="AB1231" s="310"/>
    </row>
    <row r="1232" spans="13:28" s="308" customFormat="1" x14ac:dyDescent="0.2">
      <c r="M1232" s="309"/>
      <c r="AB1232" s="310"/>
    </row>
    <row r="1233" spans="13:28" s="308" customFormat="1" x14ac:dyDescent="0.2">
      <c r="M1233" s="309"/>
      <c r="AB1233" s="310"/>
    </row>
    <row r="1234" spans="13:28" s="308" customFormat="1" x14ac:dyDescent="0.2">
      <c r="M1234" s="309"/>
      <c r="AB1234" s="310"/>
    </row>
    <row r="1235" spans="13:28" s="308" customFormat="1" x14ac:dyDescent="0.2">
      <c r="M1235" s="309"/>
      <c r="AB1235" s="310"/>
    </row>
    <row r="1236" spans="13:28" s="308" customFormat="1" x14ac:dyDescent="0.2">
      <c r="M1236" s="309"/>
      <c r="AB1236" s="310"/>
    </row>
    <row r="1237" spans="13:28" s="308" customFormat="1" x14ac:dyDescent="0.2">
      <c r="M1237" s="309"/>
      <c r="AB1237" s="310"/>
    </row>
    <row r="1238" spans="13:28" s="308" customFormat="1" x14ac:dyDescent="0.2">
      <c r="M1238" s="309"/>
      <c r="AB1238" s="310"/>
    </row>
    <row r="1239" spans="13:28" s="308" customFormat="1" x14ac:dyDescent="0.2">
      <c r="M1239" s="309"/>
      <c r="AB1239" s="310"/>
    </row>
    <row r="1240" spans="13:28" s="308" customFormat="1" x14ac:dyDescent="0.2">
      <c r="M1240" s="309"/>
      <c r="AB1240" s="310"/>
    </row>
    <row r="1241" spans="13:28" s="308" customFormat="1" x14ac:dyDescent="0.2">
      <c r="M1241" s="309"/>
      <c r="AB1241" s="310"/>
    </row>
    <row r="1242" spans="13:28" s="308" customFormat="1" x14ac:dyDescent="0.2">
      <c r="M1242" s="309"/>
      <c r="AB1242" s="310"/>
    </row>
    <row r="1243" spans="13:28" s="308" customFormat="1" x14ac:dyDescent="0.2">
      <c r="M1243" s="309"/>
      <c r="AB1243" s="310"/>
    </row>
    <row r="1244" spans="13:28" s="308" customFormat="1" x14ac:dyDescent="0.2">
      <c r="M1244" s="309"/>
      <c r="AB1244" s="310"/>
    </row>
    <row r="1245" spans="13:28" s="308" customFormat="1" x14ac:dyDescent="0.2">
      <c r="M1245" s="309"/>
      <c r="AB1245" s="310"/>
    </row>
    <row r="1246" spans="13:28" s="308" customFormat="1" x14ac:dyDescent="0.2">
      <c r="M1246" s="309"/>
      <c r="AB1246" s="310"/>
    </row>
    <row r="1247" spans="13:28" s="308" customFormat="1" x14ac:dyDescent="0.2">
      <c r="M1247" s="309"/>
      <c r="AB1247" s="310"/>
    </row>
    <row r="1248" spans="13:28" s="308" customFormat="1" x14ac:dyDescent="0.2">
      <c r="M1248" s="309"/>
      <c r="AB1248" s="310"/>
    </row>
    <row r="1249" spans="13:28" s="308" customFormat="1" x14ac:dyDescent="0.2">
      <c r="M1249" s="309"/>
      <c r="AB1249" s="310"/>
    </row>
    <row r="1250" spans="13:28" s="308" customFormat="1" x14ac:dyDescent="0.2">
      <c r="M1250" s="309"/>
      <c r="AB1250" s="310"/>
    </row>
    <row r="1251" spans="13:28" s="308" customFormat="1" x14ac:dyDescent="0.2">
      <c r="M1251" s="309"/>
      <c r="AB1251" s="310"/>
    </row>
    <row r="1252" spans="13:28" s="308" customFormat="1" x14ac:dyDescent="0.2">
      <c r="M1252" s="309"/>
      <c r="AB1252" s="310"/>
    </row>
    <row r="1253" spans="13:28" s="308" customFormat="1" x14ac:dyDescent="0.2">
      <c r="M1253" s="309"/>
      <c r="AB1253" s="310"/>
    </row>
    <row r="1254" spans="13:28" s="308" customFormat="1" x14ac:dyDescent="0.2">
      <c r="M1254" s="309"/>
      <c r="AB1254" s="310"/>
    </row>
    <row r="1255" spans="13:28" s="308" customFormat="1" x14ac:dyDescent="0.2">
      <c r="M1255" s="309"/>
      <c r="AB1255" s="310"/>
    </row>
    <row r="1256" spans="13:28" s="308" customFormat="1" x14ac:dyDescent="0.2">
      <c r="M1256" s="309"/>
      <c r="AB1256" s="310"/>
    </row>
    <row r="1257" spans="13:28" s="308" customFormat="1" x14ac:dyDescent="0.2">
      <c r="M1257" s="309"/>
      <c r="AB1257" s="310"/>
    </row>
    <row r="1258" spans="13:28" s="308" customFormat="1" x14ac:dyDescent="0.2">
      <c r="M1258" s="309"/>
      <c r="AB1258" s="310"/>
    </row>
    <row r="1259" spans="13:28" s="308" customFormat="1" x14ac:dyDescent="0.2">
      <c r="M1259" s="309"/>
      <c r="AB1259" s="310"/>
    </row>
    <row r="1260" spans="13:28" s="308" customFormat="1" x14ac:dyDescent="0.2">
      <c r="M1260" s="309"/>
      <c r="AB1260" s="310"/>
    </row>
    <row r="1261" spans="13:28" s="308" customFormat="1" x14ac:dyDescent="0.2">
      <c r="M1261" s="309"/>
      <c r="AB1261" s="310"/>
    </row>
    <row r="1262" spans="13:28" s="308" customFormat="1" x14ac:dyDescent="0.2">
      <c r="M1262" s="309"/>
      <c r="AB1262" s="310"/>
    </row>
    <row r="1263" spans="13:28" s="308" customFormat="1" x14ac:dyDescent="0.2">
      <c r="M1263" s="309"/>
      <c r="AB1263" s="310"/>
    </row>
    <row r="1264" spans="13:28" s="308" customFormat="1" x14ac:dyDescent="0.2">
      <c r="M1264" s="309"/>
      <c r="AB1264" s="310"/>
    </row>
    <row r="1265" spans="13:28" s="308" customFormat="1" x14ac:dyDescent="0.2">
      <c r="M1265" s="309"/>
      <c r="AB1265" s="310"/>
    </row>
    <row r="1266" spans="13:28" s="308" customFormat="1" x14ac:dyDescent="0.2">
      <c r="M1266" s="309"/>
      <c r="AB1266" s="310"/>
    </row>
    <row r="1267" spans="13:28" s="308" customFormat="1" x14ac:dyDescent="0.2">
      <c r="M1267" s="309"/>
      <c r="AB1267" s="310"/>
    </row>
    <row r="1268" spans="13:28" s="308" customFormat="1" x14ac:dyDescent="0.2">
      <c r="M1268" s="309"/>
      <c r="AB1268" s="310"/>
    </row>
    <row r="1269" spans="13:28" s="308" customFormat="1" x14ac:dyDescent="0.2">
      <c r="M1269" s="309"/>
      <c r="AB1269" s="310"/>
    </row>
    <row r="1270" spans="13:28" s="308" customFormat="1" x14ac:dyDescent="0.2">
      <c r="M1270" s="309"/>
      <c r="AB1270" s="310"/>
    </row>
    <row r="1271" spans="13:28" s="308" customFormat="1" x14ac:dyDescent="0.2">
      <c r="M1271" s="309"/>
      <c r="AB1271" s="310"/>
    </row>
    <row r="1272" spans="13:28" s="308" customFormat="1" x14ac:dyDescent="0.2">
      <c r="M1272" s="309"/>
      <c r="AB1272" s="310"/>
    </row>
    <row r="1273" spans="13:28" s="308" customFormat="1" x14ac:dyDescent="0.2">
      <c r="M1273" s="309"/>
      <c r="AB1273" s="310"/>
    </row>
    <row r="1274" spans="13:28" s="308" customFormat="1" x14ac:dyDescent="0.2">
      <c r="M1274" s="309"/>
      <c r="AB1274" s="310"/>
    </row>
    <row r="1275" spans="13:28" s="308" customFormat="1" x14ac:dyDescent="0.2">
      <c r="M1275" s="309"/>
      <c r="AB1275" s="310"/>
    </row>
    <row r="1276" spans="13:28" s="308" customFormat="1" x14ac:dyDescent="0.2">
      <c r="M1276" s="309"/>
      <c r="AB1276" s="310"/>
    </row>
    <row r="1277" spans="13:28" s="308" customFormat="1" x14ac:dyDescent="0.2">
      <c r="M1277" s="309"/>
      <c r="AB1277" s="310"/>
    </row>
    <row r="1278" spans="13:28" s="308" customFormat="1" x14ac:dyDescent="0.2">
      <c r="M1278" s="309"/>
      <c r="AB1278" s="310"/>
    </row>
    <row r="1279" spans="13:28" s="308" customFormat="1" x14ac:dyDescent="0.2">
      <c r="M1279" s="309"/>
      <c r="AB1279" s="310"/>
    </row>
    <row r="1280" spans="13:28" s="308" customFormat="1" x14ac:dyDescent="0.2">
      <c r="M1280" s="309"/>
      <c r="AB1280" s="310"/>
    </row>
    <row r="1281" spans="13:28" s="308" customFormat="1" x14ac:dyDescent="0.2">
      <c r="M1281" s="309"/>
      <c r="AB1281" s="310"/>
    </row>
    <row r="1282" spans="13:28" s="308" customFormat="1" x14ac:dyDescent="0.2">
      <c r="M1282" s="309"/>
      <c r="AB1282" s="310"/>
    </row>
    <row r="1283" spans="13:28" s="308" customFormat="1" x14ac:dyDescent="0.2">
      <c r="M1283" s="309"/>
      <c r="AB1283" s="310"/>
    </row>
    <row r="1284" spans="13:28" s="308" customFormat="1" x14ac:dyDescent="0.2">
      <c r="M1284" s="309"/>
      <c r="AB1284" s="310"/>
    </row>
    <row r="1285" spans="13:28" s="308" customFormat="1" x14ac:dyDescent="0.2">
      <c r="M1285" s="309"/>
      <c r="AB1285" s="310"/>
    </row>
    <row r="1286" spans="13:28" s="308" customFormat="1" x14ac:dyDescent="0.2">
      <c r="M1286" s="309"/>
      <c r="AB1286" s="310"/>
    </row>
    <row r="1287" spans="13:28" s="308" customFormat="1" x14ac:dyDescent="0.2">
      <c r="M1287" s="309"/>
      <c r="AB1287" s="310"/>
    </row>
    <row r="1288" spans="13:28" s="308" customFormat="1" x14ac:dyDescent="0.2">
      <c r="M1288" s="309"/>
      <c r="AB1288" s="310"/>
    </row>
    <row r="1289" spans="13:28" s="308" customFormat="1" x14ac:dyDescent="0.2">
      <c r="M1289" s="309"/>
      <c r="AB1289" s="310"/>
    </row>
    <row r="1290" spans="13:28" s="308" customFormat="1" x14ac:dyDescent="0.2">
      <c r="M1290" s="309"/>
      <c r="AB1290" s="310"/>
    </row>
    <row r="1291" spans="13:28" s="308" customFormat="1" x14ac:dyDescent="0.2">
      <c r="M1291" s="309"/>
      <c r="AB1291" s="310"/>
    </row>
    <row r="1292" spans="13:28" s="308" customFormat="1" x14ac:dyDescent="0.2">
      <c r="M1292" s="309"/>
      <c r="AB1292" s="310"/>
    </row>
    <row r="1293" spans="13:28" s="308" customFormat="1" x14ac:dyDescent="0.2">
      <c r="M1293" s="309"/>
      <c r="AB1293" s="310"/>
    </row>
    <row r="1294" spans="13:28" s="308" customFormat="1" x14ac:dyDescent="0.2">
      <c r="M1294" s="309"/>
      <c r="AB1294" s="310"/>
    </row>
    <row r="1295" spans="13:28" s="308" customFormat="1" x14ac:dyDescent="0.2">
      <c r="M1295" s="309"/>
      <c r="AB1295" s="310"/>
    </row>
    <row r="1296" spans="13:28" s="308" customFormat="1" x14ac:dyDescent="0.2">
      <c r="M1296" s="309"/>
      <c r="AB1296" s="310"/>
    </row>
    <row r="1297" spans="13:28" s="308" customFormat="1" x14ac:dyDescent="0.2">
      <c r="M1297" s="309"/>
      <c r="AB1297" s="310"/>
    </row>
    <row r="1298" spans="13:28" s="308" customFormat="1" x14ac:dyDescent="0.2">
      <c r="M1298" s="309"/>
      <c r="AB1298" s="310"/>
    </row>
    <row r="1299" spans="13:28" s="308" customFormat="1" x14ac:dyDescent="0.2">
      <c r="M1299" s="309"/>
      <c r="AB1299" s="310"/>
    </row>
    <row r="1300" spans="13:28" s="308" customFormat="1" x14ac:dyDescent="0.2">
      <c r="M1300" s="309"/>
      <c r="AB1300" s="310"/>
    </row>
    <row r="1301" spans="13:28" s="308" customFormat="1" x14ac:dyDescent="0.2">
      <c r="M1301" s="309"/>
      <c r="AB1301" s="310"/>
    </row>
    <row r="1302" spans="13:28" s="308" customFormat="1" x14ac:dyDescent="0.2">
      <c r="M1302" s="309"/>
      <c r="AB1302" s="310"/>
    </row>
    <row r="1303" spans="13:28" s="308" customFormat="1" x14ac:dyDescent="0.2">
      <c r="M1303" s="309"/>
      <c r="AB1303" s="310"/>
    </row>
    <row r="1304" spans="13:28" s="308" customFormat="1" x14ac:dyDescent="0.2">
      <c r="M1304" s="309"/>
      <c r="AB1304" s="310"/>
    </row>
    <row r="1305" spans="13:28" s="308" customFormat="1" x14ac:dyDescent="0.2">
      <c r="M1305" s="309"/>
      <c r="AB1305" s="310"/>
    </row>
    <row r="1306" spans="13:28" s="308" customFormat="1" x14ac:dyDescent="0.2">
      <c r="M1306" s="309"/>
      <c r="AB1306" s="310"/>
    </row>
    <row r="1307" spans="13:28" s="308" customFormat="1" x14ac:dyDescent="0.2">
      <c r="M1307" s="309"/>
      <c r="AB1307" s="310"/>
    </row>
    <row r="1308" spans="13:28" s="308" customFormat="1" x14ac:dyDescent="0.2">
      <c r="M1308" s="309"/>
      <c r="AB1308" s="310"/>
    </row>
    <row r="1309" spans="13:28" s="308" customFormat="1" x14ac:dyDescent="0.2">
      <c r="M1309" s="309"/>
      <c r="AB1309" s="310"/>
    </row>
    <row r="1310" spans="13:28" s="308" customFormat="1" x14ac:dyDescent="0.2">
      <c r="M1310" s="309"/>
      <c r="AB1310" s="310"/>
    </row>
    <row r="1311" spans="13:28" s="308" customFormat="1" x14ac:dyDescent="0.2">
      <c r="M1311" s="309"/>
      <c r="AB1311" s="310"/>
    </row>
    <row r="1312" spans="13:28" s="308" customFormat="1" x14ac:dyDescent="0.2">
      <c r="M1312" s="309"/>
      <c r="AB1312" s="310"/>
    </row>
    <row r="1313" spans="13:28" s="308" customFormat="1" x14ac:dyDescent="0.2">
      <c r="M1313" s="309"/>
      <c r="AB1313" s="310"/>
    </row>
    <row r="1314" spans="13:28" s="308" customFormat="1" x14ac:dyDescent="0.2">
      <c r="M1314" s="309"/>
      <c r="AB1314" s="310"/>
    </row>
    <row r="1315" spans="13:28" s="308" customFormat="1" x14ac:dyDescent="0.2">
      <c r="M1315" s="309"/>
      <c r="AB1315" s="310"/>
    </row>
    <row r="1316" spans="13:28" s="308" customFormat="1" x14ac:dyDescent="0.2">
      <c r="M1316" s="309"/>
      <c r="AB1316" s="310"/>
    </row>
    <row r="1317" spans="13:28" s="308" customFormat="1" x14ac:dyDescent="0.2">
      <c r="M1317" s="309"/>
      <c r="AB1317" s="310"/>
    </row>
    <row r="1318" spans="13:28" s="308" customFormat="1" x14ac:dyDescent="0.2">
      <c r="M1318" s="309"/>
      <c r="AB1318" s="310"/>
    </row>
    <row r="1319" spans="13:28" s="308" customFormat="1" x14ac:dyDescent="0.2">
      <c r="M1319" s="309"/>
      <c r="AB1319" s="310"/>
    </row>
    <row r="1320" spans="13:28" s="308" customFormat="1" x14ac:dyDescent="0.2">
      <c r="M1320" s="309"/>
      <c r="AB1320" s="310"/>
    </row>
    <row r="1321" spans="13:28" s="308" customFormat="1" x14ac:dyDescent="0.2">
      <c r="M1321" s="309"/>
      <c r="AB1321" s="310"/>
    </row>
    <row r="1322" spans="13:28" s="308" customFormat="1" x14ac:dyDescent="0.2">
      <c r="M1322" s="309"/>
      <c r="AB1322" s="310"/>
    </row>
    <row r="1323" spans="13:28" s="308" customFormat="1" x14ac:dyDescent="0.2">
      <c r="M1323" s="309"/>
      <c r="AB1323" s="310"/>
    </row>
    <row r="1324" spans="13:28" s="308" customFormat="1" x14ac:dyDescent="0.2">
      <c r="M1324" s="309"/>
      <c r="AB1324" s="310"/>
    </row>
    <row r="1325" spans="13:28" s="308" customFormat="1" x14ac:dyDescent="0.2">
      <c r="M1325" s="309"/>
      <c r="AB1325" s="310"/>
    </row>
    <row r="1326" spans="13:28" s="308" customFormat="1" x14ac:dyDescent="0.2">
      <c r="M1326" s="309"/>
      <c r="AB1326" s="310"/>
    </row>
    <row r="1327" spans="13:28" s="308" customFormat="1" x14ac:dyDescent="0.2">
      <c r="M1327" s="309"/>
      <c r="AB1327" s="310"/>
    </row>
    <row r="1328" spans="13:28" s="308" customFormat="1" x14ac:dyDescent="0.2">
      <c r="M1328" s="309"/>
      <c r="AB1328" s="310"/>
    </row>
    <row r="1329" spans="13:28" s="308" customFormat="1" x14ac:dyDescent="0.2">
      <c r="M1329" s="309"/>
      <c r="AB1329" s="310"/>
    </row>
    <row r="1330" spans="13:28" s="308" customFormat="1" x14ac:dyDescent="0.2">
      <c r="M1330" s="309"/>
      <c r="AB1330" s="310"/>
    </row>
    <row r="1331" spans="13:28" s="308" customFormat="1" x14ac:dyDescent="0.2">
      <c r="M1331" s="309"/>
      <c r="AB1331" s="310"/>
    </row>
    <row r="1332" spans="13:28" s="308" customFormat="1" x14ac:dyDescent="0.2">
      <c r="M1332" s="309"/>
      <c r="AB1332" s="310"/>
    </row>
    <row r="1333" spans="13:28" s="308" customFormat="1" x14ac:dyDescent="0.2">
      <c r="M1333" s="309"/>
      <c r="AB1333" s="310"/>
    </row>
    <row r="1334" spans="13:28" s="308" customFormat="1" x14ac:dyDescent="0.2">
      <c r="M1334" s="309"/>
      <c r="AB1334" s="310"/>
    </row>
    <row r="1335" spans="13:28" s="308" customFormat="1" x14ac:dyDescent="0.2">
      <c r="M1335" s="309"/>
      <c r="AB1335" s="310"/>
    </row>
    <row r="1336" spans="13:28" s="308" customFormat="1" x14ac:dyDescent="0.2">
      <c r="M1336" s="309"/>
      <c r="AB1336" s="310"/>
    </row>
    <row r="1337" spans="13:28" s="308" customFormat="1" x14ac:dyDescent="0.2">
      <c r="M1337" s="309"/>
      <c r="AB1337" s="310"/>
    </row>
    <row r="1338" spans="13:28" s="308" customFormat="1" x14ac:dyDescent="0.2">
      <c r="M1338" s="309"/>
      <c r="AB1338" s="310"/>
    </row>
    <row r="1339" spans="13:28" s="308" customFormat="1" x14ac:dyDescent="0.2">
      <c r="M1339" s="309"/>
      <c r="AB1339" s="310"/>
    </row>
    <row r="1340" spans="13:28" s="308" customFormat="1" x14ac:dyDescent="0.2">
      <c r="M1340" s="309"/>
      <c r="AB1340" s="310"/>
    </row>
    <row r="1341" spans="13:28" s="308" customFormat="1" x14ac:dyDescent="0.2">
      <c r="M1341" s="309"/>
      <c r="AB1341" s="310"/>
    </row>
    <row r="1342" spans="13:28" s="308" customFormat="1" x14ac:dyDescent="0.2">
      <c r="M1342" s="309"/>
      <c r="AB1342" s="310"/>
    </row>
    <row r="1343" spans="13:28" s="308" customFormat="1" x14ac:dyDescent="0.2">
      <c r="M1343" s="309"/>
      <c r="AB1343" s="310"/>
    </row>
    <row r="1344" spans="13:28" s="308" customFormat="1" x14ac:dyDescent="0.2">
      <c r="M1344" s="309"/>
      <c r="AB1344" s="310"/>
    </row>
    <row r="1345" spans="13:28" s="308" customFormat="1" x14ac:dyDescent="0.2">
      <c r="M1345" s="309"/>
      <c r="AB1345" s="310"/>
    </row>
    <row r="1346" spans="13:28" s="308" customFormat="1" x14ac:dyDescent="0.2">
      <c r="M1346" s="309"/>
      <c r="AB1346" s="310"/>
    </row>
    <row r="1347" spans="13:28" s="308" customFormat="1" x14ac:dyDescent="0.2">
      <c r="M1347" s="309"/>
      <c r="AB1347" s="310"/>
    </row>
    <row r="1348" spans="13:28" s="308" customFormat="1" x14ac:dyDescent="0.2">
      <c r="M1348" s="309"/>
      <c r="AB1348" s="310"/>
    </row>
    <row r="1349" spans="13:28" s="308" customFormat="1" x14ac:dyDescent="0.2">
      <c r="M1349" s="309"/>
      <c r="AB1349" s="310"/>
    </row>
    <row r="1350" spans="13:28" s="308" customFormat="1" x14ac:dyDescent="0.2">
      <c r="M1350" s="309"/>
      <c r="AB1350" s="310"/>
    </row>
    <row r="1351" spans="13:28" s="308" customFormat="1" x14ac:dyDescent="0.2">
      <c r="M1351" s="309"/>
      <c r="AB1351" s="310"/>
    </row>
    <row r="1352" spans="13:28" s="308" customFormat="1" x14ac:dyDescent="0.2">
      <c r="M1352" s="309"/>
      <c r="AB1352" s="310"/>
    </row>
    <row r="1353" spans="13:28" s="308" customFormat="1" x14ac:dyDescent="0.2">
      <c r="M1353" s="309"/>
      <c r="AB1353" s="310"/>
    </row>
    <row r="1354" spans="13:28" s="308" customFormat="1" x14ac:dyDescent="0.2">
      <c r="M1354" s="309"/>
      <c r="AB1354" s="310"/>
    </row>
    <row r="1355" spans="13:28" s="308" customFormat="1" x14ac:dyDescent="0.2">
      <c r="M1355" s="309"/>
      <c r="AB1355" s="310"/>
    </row>
    <row r="1356" spans="13:28" s="308" customFormat="1" x14ac:dyDescent="0.2">
      <c r="M1356" s="309"/>
      <c r="AB1356" s="310"/>
    </row>
    <row r="1357" spans="13:28" s="308" customFormat="1" x14ac:dyDescent="0.2">
      <c r="M1357" s="309"/>
      <c r="AB1357" s="310"/>
    </row>
    <row r="1358" spans="13:28" s="308" customFormat="1" x14ac:dyDescent="0.2">
      <c r="M1358" s="309"/>
      <c r="AB1358" s="310"/>
    </row>
    <row r="1359" spans="13:28" s="308" customFormat="1" x14ac:dyDescent="0.2">
      <c r="M1359" s="309"/>
      <c r="AB1359" s="310"/>
    </row>
    <row r="1360" spans="13:28" s="308" customFormat="1" x14ac:dyDescent="0.2">
      <c r="M1360" s="309"/>
      <c r="AB1360" s="310"/>
    </row>
    <row r="1361" spans="13:28" s="308" customFormat="1" x14ac:dyDescent="0.2">
      <c r="M1361" s="309"/>
      <c r="AB1361" s="310"/>
    </row>
    <row r="1362" spans="13:28" s="308" customFormat="1" x14ac:dyDescent="0.2">
      <c r="M1362" s="309"/>
      <c r="AB1362" s="310"/>
    </row>
    <row r="1363" spans="13:28" s="308" customFormat="1" x14ac:dyDescent="0.2">
      <c r="M1363" s="309"/>
      <c r="AB1363" s="310"/>
    </row>
    <row r="1364" spans="13:28" s="308" customFormat="1" x14ac:dyDescent="0.2">
      <c r="M1364" s="309"/>
      <c r="AB1364" s="310"/>
    </row>
    <row r="1365" spans="13:28" s="308" customFormat="1" x14ac:dyDescent="0.2">
      <c r="M1365" s="309"/>
      <c r="AB1365" s="310"/>
    </row>
    <row r="1366" spans="13:28" s="308" customFormat="1" x14ac:dyDescent="0.2">
      <c r="M1366" s="309"/>
      <c r="AB1366" s="310"/>
    </row>
    <row r="1367" spans="13:28" s="308" customFormat="1" x14ac:dyDescent="0.2">
      <c r="M1367" s="309"/>
      <c r="AB1367" s="310"/>
    </row>
    <row r="1368" spans="13:28" s="308" customFormat="1" x14ac:dyDescent="0.2">
      <c r="M1368" s="309"/>
      <c r="AB1368" s="310"/>
    </row>
    <row r="1369" spans="13:28" s="308" customFormat="1" x14ac:dyDescent="0.2">
      <c r="M1369" s="309"/>
      <c r="AB1369" s="310"/>
    </row>
    <row r="1370" spans="13:28" s="308" customFormat="1" x14ac:dyDescent="0.2">
      <c r="M1370" s="309"/>
      <c r="AB1370" s="310"/>
    </row>
    <row r="1371" spans="13:28" s="308" customFormat="1" x14ac:dyDescent="0.2">
      <c r="M1371" s="309"/>
      <c r="AB1371" s="310"/>
    </row>
    <row r="1372" spans="13:28" s="308" customFormat="1" x14ac:dyDescent="0.2">
      <c r="M1372" s="309"/>
      <c r="AB1372" s="310"/>
    </row>
    <row r="1373" spans="13:28" s="308" customFormat="1" x14ac:dyDescent="0.2">
      <c r="M1373" s="309"/>
      <c r="AB1373" s="310"/>
    </row>
    <row r="1374" spans="13:28" s="308" customFormat="1" x14ac:dyDescent="0.2">
      <c r="M1374" s="309"/>
      <c r="AB1374" s="310"/>
    </row>
    <row r="1375" spans="13:28" s="308" customFormat="1" x14ac:dyDescent="0.2">
      <c r="M1375" s="309"/>
      <c r="AB1375" s="310"/>
    </row>
    <row r="1376" spans="13:28" s="308" customFormat="1" x14ac:dyDescent="0.2">
      <c r="M1376" s="309"/>
      <c r="AB1376" s="310"/>
    </row>
    <row r="1377" spans="13:28" s="308" customFormat="1" x14ac:dyDescent="0.2">
      <c r="M1377" s="309"/>
      <c r="AB1377" s="310"/>
    </row>
    <row r="1378" spans="13:28" s="308" customFormat="1" x14ac:dyDescent="0.2">
      <c r="M1378" s="309"/>
      <c r="AB1378" s="310"/>
    </row>
    <row r="1379" spans="13:28" s="308" customFormat="1" x14ac:dyDescent="0.2">
      <c r="M1379" s="309"/>
      <c r="AB1379" s="310"/>
    </row>
    <row r="1380" spans="13:28" s="308" customFormat="1" x14ac:dyDescent="0.2">
      <c r="M1380" s="309"/>
      <c r="AB1380" s="310"/>
    </row>
    <row r="1381" spans="13:28" s="308" customFormat="1" x14ac:dyDescent="0.2">
      <c r="M1381" s="309"/>
      <c r="AB1381" s="310"/>
    </row>
    <row r="1382" spans="13:28" s="308" customFormat="1" x14ac:dyDescent="0.2">
      <c r="M1382" s="309"/>
      <c r="AB1382" s="310"/>
    </row>
    <row r="1383" spans="13:28" s="308" customFormat="1" x14ac:dyDescent="0.2">
      <c r="M1383" s="309"/>
      <c r="AB1383" s="310"/>
    </row>
    <row r="1384" spans="13:28" s="308" customFormat="1" x14ac:dyDescent="0.2">
      <c r="M1384" s="309"/>
      <c r="AB1384" s="310"/>
    </row>
    <row r="1385" spans="13:28" s="308" customFormat="1" x14ac:dyDescent="0.2">
      <c r="M1385" s="309"/>
      <c r="AB1385" s="310"/>
    </row>
    <row r="1386" spans="13:28" s="308" customFormat="1" x14ac:dyDescent="0.2">
      <c r="M1386" s="309"/>
      <c r="AB1386" s="310"/>
    </row>
    <row r="1387" spans="13:28" s="308" customFormat="1" x14ac:dyDescent="0.2">
      <c r="M1387" s="309"/>
      <c r="AB1387" s="310"/>
    </row>
    <row r="1388" spans="13:28" s="308" customFormat="1" x14ac:dyDescent="0.2">
      <c r="M1388" s="309"/>
      <c r="AB1388" s="310"/>
    </row>
    <row r="1389" spans="13:28" s="308" customFormat="1" x14ac:dyDescent="0.2">
      <c r="M1389" s="309"/>
      <c r="AB1389" s="310"/>
    </row>
    <row r="1390" spans="13:28" s="308" customFormat="1" x14ac:dyDescent="0.2">
      <c r="M1390" s="309"/>
      <c r="AB1390" s="310"/>
    </row>
    <row r="1391" spans="13:28" s="308" customFormat="1" x14ac:dyDescent="0.2">
      <c r="M1391" s="309"/>
      <c r="AB1391" s="310"/>
    </row>
    <row r="1392" spans="13:28" s="308" customFormat="1" x14ac:dyDescent="0.2">
      <c r="M1392" s="309"/>
      <c r="AB1392" s="310"/>
    </row>
    <row r="1393" spans="13:28" s="308" customFormat="1" x14ac:dyDescent="0.2">
      <c r="M1393" s="309"/>
      <c r="AB1393" s="310"/>
    </row>
    <row r="1394" spans="13:28" s="308" customFormat="1" x14ac:dyDescent="0.2">
      <c r="M1394" s="309"/>
      <c r="AB1394" s="310"/>
    </row>
    <row r="1395" spans="13:28" s="308" customFormat="1" x14ac:dyDescent="0.2">
      <c r="M1395" s="309"/>
      <c r="AB1395" s="310"/>
    </row>
    <row r="1396" spans="13:28" s="308" customFormat="1" x14ac:dyDescent="0.2">
      <c r="M1396" s="309"/>
      <c r="AB1396" s="310"/>
    </row>
    <row r="1397" spans="13:28" s="308" customFormat="1" x14ac:dyDescent="0.2">
      <c r="M1397" s="309"/>
      <c r="AB1397" s="310"/>
    </row>
    <row r="1398" spans="13:28" s="308" customFormat="1" x14ac:dyDescent="0.2">
      <c r="M1398" s="309"/>
      <c r="AB1398" s="310"/>
    </row>
    <row r="1399" spans="13:28" s="308" customFormat="1" x14ac:dyDescent="0.2">
      <c r="M1399" s="309"/>
      <c r="AB1399" s="310"/>
    </row>
    <row r="1400" spans="13:28" s="308" customFormat="1" x14ac:dyDescent="0.2">
      <c r="M1400" s="309"/>
      <c r="AB1400" s="310"/>
    </row>
    <row r="1401" spans="13:28" s="308" customFormat="1" x14ac:dyDescent="0.2">
      <c r="M1401" s="309"/>
      <c r="AB1401" s="310"/>
    </row>
    <row r="1402" spans="13:28" s="308" customFormat="1" x14ac:dyDescent="0.2">
      <c r="M1402" s="309"/>
      <c r="AB1402" s="310"/>
    </row>
    <row r="1403" spans="13:28" s="308" customFormat="1" x14ac:dyDescent="0.2">
      <c r="M1403" s="309"/>
      <c r="AB1403" s="310"/>
    </row>
    <row r="1404" spans="13:28" s="308" customFormat="1" x14ac:dyDescent="0.2">
      <c r="M1404" s="309"/>
      <c r="AB1404" s="310"/>
    </row>
    <row r="1405" spans="13:28" s="308" customFormat="1" x14ac:dyDescent="0.2">
      <c r="M1405" s="309"/>
      <c r="AB1405" s="310"/>
    </row>
    <row r="1406" spans="13:28" s="308" customFormat="1" x14ac:dyDescent="0.2">
      <c r="M1406" s="309"/>
      <c r="AB1406" s="310"/>
    </row>
    <row r="1407" spans="13:28" s="308" customFormat="1" x14ac:dyDescent="0.2">
      <c r="M1407" s="309"/>
      <c r="AB1407" s="310"/>
    </row>
    <row r="1408" spans="13:28" s="308" customFormat="1" x14ac:dyDescent="0.2">
      <c r="M1408" s="309"/>
      <c r="AB1408" s="310"/>
    </row>
    <row r="1409" spans="13:28" s="308" customFormat="1" x14ac:dyDescent="0.2">
      <c r="M1409" s="309"/>
      <c r="AB1409" s="310"/>
    </row>
    <row r="1410" spans="13:28" s="308" customFormat="1" x14ac:dyDescent="0.2">
      <c r="M1410" s="309"/>
      <c r="AB1410" s="310"/>
    </row>
    <row r="1411" spans="13:28" s="308" customFormat="1" x14ac:dyDescent="0.2">
      <c r="M1411" s="309"/>
      <c r="AB1411" s="310"/>
    </row>
    <row r="1412" spans="13:28" s="308" customFormat="1" x14ac:dyDescent="0.2">
      <c r="M1412" s="309"/>
      <c r="AB1412" s="310"/>
    </row>
    <row r="1413" spans="13:28" s="308" customFormat="1" x14ac:dyDescent="0.2">
      <c r="M1413" s="309"/>
      <c r="AB1413" s="310"/>
    </row>
    <row r="1414" spans="13:28" s="308" customFormat="1" x14ac:dyDescent="0.2">
      <c r="M1414" s="309"/>
      <c r="AB1414" s="310"/>
    </row>
    <row r="1415" spans="13:28" s="308" customFormat="1" x14ac:dyDescent="0.2">
      <c r="M1415" s="309"/>
      <c r="AB1415" s="310"/>
    </row>
    <row r="1416" spans="13:28" s="308" customFormat="1" x14ac:dyDescent="0.2">
      <c r="M1416" s="309"/>
      <c r="AB1416" s="310"/>
    </row>
    <row r="1417" spans="13:28" s="308" customFormat="1" x14ac:dyDescent="0.2">
      <c r="M1417" s="309"/>
      <c r="AB1417" s="310"/>
    </row>
    <row r="1418" spans="13:28" s="308" customFormat="1" x14ac:dyDescent="0.2">
      <c r="M1418" s="309"/>
      <c r="AB1418" s="310"/>
    </row>
    <row r="1419" spans="13:28" s="308" customFormat="1" x14ac:dyDescent="0.2">
      <c r="M1419" s="309"/>
      <c r="AB1419" s="310"/>
    </row>
    <row r="1420" spans="13:28" s="308" customFormat="1" x14ac:dyDescent="0.2">
      <c r="M1420" s="309"/>
      <c r="AB1420" s="310"/>
    </row>
    <row r="1421" spans="13:28" s="308" customFormat="1" x14ac:dyDescent="0.2">
      <c r="M1421" s="309"/>
      <c r="AB1421" s="310"/>
    </row>
    <row r="1422" spans="13:28" s="308" customFormat="1" x14ac:dyDescent="0.2">
      <c r="M1422" s="309"/>
      <c r="AB1422" s="310"/>
    </row>
    <row r="1423" spans="13:28" s="308" customFormat="1" x14ac:dyDescent="0.2">
      <c r="M1423" s="309"/>
      <c r="AB1423" s="310"/>
    </row>
    <row r="1424" spans="13:28" s="308" customFormat="1" x14ac:dyDescent="0.2">
      <c r="M1424" s="309"/>
      <c r="AB1424" s="310"/>
    </row>
    <row r="1425" spans="13:28" s="308" customFormat="1" x14ac:dyDescent="0.2">
      <c r="M1425" s="309"/>
      <c r="AB1425" s="310"/>
    </row>
    <row r="1426" spans="13:28" s="308" customFormat="1" x14ac:dyDescent="0.2">
      <c r="M1426" s="309"/>
      <c r="AB1426" s="310"/>
    </row>
    <row r="1427" spans="13:28" s="308" customFormat="1" x14ac:dyDescent="0.2">
      <c r="M1427" s="309"/>
      <c r="AB1427" s="310"/>
    </row>
    <row r="1428" spans="13:28" s="308" customFormat="1" x14ac:dyDescent="0.2">
      <c r="M1428" s="309"/>
      <c r="AB1428" s="310"/>
    </row>
    <row r="1429" spans="13:28" s="308" customFormat="1" x14ac:dyDescent="0.2">
      <c r="M1429" s="309"/>
      <c r="AB1429" s="310"/>
    </row>
    <row r="1430" spans="13:28" s="308" customFormat="1" x14ac:dyDescent="0.2">
      <c r="M1430" s="309"/>
      <c r="AB1430" s="310"/>
    </row>
    <row r="1431" spans="13:28" s="308" customFormat="1" x14ac:dyDescent="0.2">
      <c r="M1431" s="309"/>
      <c r="AB1431" s="310"/>
    </row>
    <row r="1432" spans="13:28" s="308" customFormat="1" x14ac:dyDescent="0.2">
      <c r="M1432" s="309"/>
      <c r="AB1432" s="310"/>
    </row>
    <row r="1433" spans="13:28" s="308" customFormat="1" x14ac:dyDescent="0.2">
      <c r="M1433" s="309"/>
      <c r="AB1433" s="310"/>
    </row>
    <row r="1434" spans="13:28" s="308" customFormat="1" x14ac:dyDescent="0.2">
      <c r="M1434" s="309"/>
      <c r="AB1434" s="310"/>
    </row>
    <row r="1435" spans="13:28" s="308" customFormat="1" x14ac:dyDescent="0.2">
      <c r="M1435" s="309"/>
      <c r="AB1435" s="310"/>
    </row>
    <row r="1436" spans="13:28" s="308" customFormat="1" x14ac:dyDescent="0.2">
      <c r="M1436" s="309"/>
      <c r="AB1436" s="310"/>
    </row>
    <row r="1437" spans="13:28" s="308" customFormat="1" x14ac:dyDescent="0.2">
      <c r="M1437" s="309"/>
      <c r="AB1437" s="310"/>
    </row>
    <row r="1438" spans="13:28" s="308" customFormat="1" x14ac:dyDescent="0.2">
      <c r="M1438" s="309"/>
      <c r="AB1438" s="310"/>
    </row>
    <row r="1439" spans="13:28" s="308" customFormat="1" x14ac:dyDescent="0.2">
      <c r="M1439" s="309"/>
      <c r="AB1439" s="310"/>
    </row>
    <row r="1440" spans="13:28" s="308" customFormat="1" x14ac:dyDescent="0.2">
      <c r="M1440" s="309"/>
      <c r="AB1440" s="310"/>
    </row>
    <row r="1441" spans="13:28" s="308" customFormat="1" x14ac:dyDescent="0.2">
      <c r="M1441" s="309"/>
      <c r="AB1441" s="310"/>
    </row>
    <row r="1442" spans="13:28" s="308" customFormat="1" x14ac:dyDescent="0.2">
      <c r="M1442" s="309"/>
      <c r="AB1442" s="310"/>
    </row>
    <row r="1443" spans="13:28" s="308" customFormat="1" x14ac:dyDescent="0.2">
      <c r="M1443" s="309"/>
      <c r="AB1443" s="310"/>
    </row>
    <row r="1444" spans="13:28" s="308" customFormat="1" x14ac:dyDescent="0.2">
      <c r="M1444" s="309"/>
      <c r="AB1444" s="310"/>
    </row>
    <row r="1445" spans="13:28" s="308" customFormat="1" x14ac:dyDescent="0.2">
      <c r="M1445" s="309"/>
      <c r="AB1445" s="310"/>
    </row>
    <row r="1446" spans="13:28" s="308" customFormat="1" x14ac:dyDescent="0.2">
      <c r="M1446" s="309"/>
      <c r="AB1446" s="310"/>
    </row>
    <row r="1447" spans="13:28" s="308" customFormat="1" x14ac:dyDescent="0.2">
      <c r="M1447" s="309"/>
      <c r="AB1447" s="310"/>
    </row>
    <row r="1448" spans="13:28" s="308" customFormat="1" x14ac:dyDescent="0.2">
      <c r="M1448" s="309"/>
      <c r="AB1448" s="310"/>
    </row>
    <row r="1449" spans="13:28" s="308" customFormat="1" x14ac:dyDescent="0.2">
      <c r="M1449" s="309"/>
      <c r="AB1449" s="310"/>
    </row>
    <row r="1450" spans="13:28" s="308" customFormat="1" x14ac:dyDescent="0.2">
      <c r="M1450" s="309"/>
      <c r="AB1450" s="310"/>
    </row>
    <row r="1451" spans="13:28" s="308" customFormat="1" x14ac:dyDescent="0.2">
      <c r="M1451" s="309"/>
      <c r="AB1451" s="310"/>
    </row>
    <row r="1452" spans="13:28" s="308" customFormat="1" x14ac:dyDescent="0.2">
      <c r="M1452" s="309"/>
      <c r="AB1452" s="310"/>
    </row>
    <row r="1453" spans="13:28" s="308" customFormat="1" x14ac:dyDescent="0.2">
      <c r="M1453" s="309"/>
      <c r="AB1453" s="310"/>
    </row>
    <row r="1454" spans="13:28" s="308" customFormat="1" x14ac:dyDescent="0.2">
      <c r="M1454" s="309"/>
      <c r="AB1454" s="310"/>
    </row>
    <row r="1455" spans="13:28" s="308" customFormat="1" x14ac:dyDescent="0.2">
      <c r="M1455" s="309"/>
      <c r="AB1455" s="310"/>
    </row>
    <row r="1456" spans="13:28" s="308" customFormat="1" x14ac:dyDescent="0.2">
      <c r="M1456" s="309"/>
      <c r="AB1456" s="310"/>
    </row>
    <row r="1457" spans="13:28" s="308" customFormat="1" x14ac:dyDescent="0.2">
      <c r="M1457" s="309"/>
      <c r="AB1457" s="310"/>
    </row>
    <row r="1458" spans="13:28" s="308" customFormat="1" x14ac:dyDescent="0.2">
      <c r="M1458" s="309"/>
      <c r="AB1458" s="310"/>
    </row>
    <row r="1459" spans="13:28" s="308" customFormat="1" x14ac:dyDescent="0.2">
      <c r="M1459" s="309"/>
      <c r="AB1459" s="310"/>
    </row>
    <row r="1460" spans="13:28" s="308" customFormat="1" x14ac:dyDescent="0.2">
      <c r="M1460" s="309"/>
      <c r="AB1460" s="310"/>
    </row>
    <row r="1461" spans="13:28" s="308" customFormat="1" x14ac:dyDescent="0.2">
      <c r="M1461" s="309"/>
      <c r="AB1461" s="310"/>
    </row>
    <row r="1462" spans="13:28" s="308" customFormat="1" x14ac:dyDescent="0.2">
      <c r="M1462" s="309"/>
      <c r="AB1462" s="310"/>
    </row>
    <row r="1463" spans="13:28" s="308" customFormat="1" x14ac:dyDescent="0.2">
      <c r="M1463" s="309"/>
      <c r="AB1463" s="310"/>
    </row>
    <row r="1464" spans="13:28" s="308" customFormat="1" x14ac:dyDescent="0.2">
      <c r="M1464" s="309"/>
      <c r="AB1464" s="310"/>
    </row>
    <row r="1465" spans="13:28" s="308" customFormat="1" x14ac:dyDescent="0.2">
      <c r="M1465" s="309"/>
      <c r="AB1465" s="310"/>
    </row>
    <row r="1466" spans="13:28" s="308" customFormat="1" x14ac:dyDescent="0.2">
      <c r="M1466" s="309"/>
      <c r="AB1466" s="310"/>
    </row>
    <row r="1467" spans="13:28" s="308" customFormat="1" x14ac:dyDescent="0.2">
      <c r="M1467" s="309"/>
      <c r="AB1467" s="310"/>
    </row>
    <row r="1468" spans="13:28" s="308" customFormat="1" x14ac:dyDescent="0.2">
      <c r="M1468" s="309"/>
      <c r="AB1468" s="310"/>
    </row>
    <row r="1469" spans="13:28" s="308" customFormat="1" x14ac:dyDescent="0.2">
      <c r="M1469" s="309"/>
      <c r="AB1469" s="310"/>
    </row>
    <row r="1470" spans="13:28" s="308" customFormat="1" x14ac:dyDescent="0.2">
      <c r="M1470" s="309"/>
      <c r="AB1470" s="310"/>
    </row>
    <row r="1471" spans="13:28" s="308" customFormat="1" x14ac:dyDescent="0.2">
      <c r="M1471" s="309"/>
      <c r="AB1471" s="310"/>
    </row>
    <row r="1472" spans="13:28" s="308" customFormat="1" x14ac:dyDescent="0.2">
      <c r="M1472" s="309"/>
      <c r="AB1472" s="310"/>
    </row>
    <row r="1473" spans="13:28" s="308" customFormat="1" x14ac:dyDescent="0.2">
      <c r="M1473" s="309"/>
      <c r="AB1473" s="310"/>
    </row>
    <row r="1474" spans="13:28" s="308" customFormat="1" x14ac:dyDescent="0.2">
      <c r="M1474" s="309"/>
      <c r="AB1474" s="310"/>
    </row>
    <row r="1475" spans="13:28" s="308" customFormat="1" x14ac:dyDescent="0.2">
      <c r="M1475" s="309"/>
      <c r="AB1475" s="310"/>
    </row>
    <row r="1476" spans="13:28" s="308" customFormat="1" x14ac:dyDescent="0.2">
      <c r="M1476" s="309"/>
      <c r="AB1476" s="310"/>
    </row>
    <row r="1477" spans="13:28" s="308" customFormat="1" x14ac:dyDescent="0.2">
      <c r="M1477" s="309"/>
      <c r="AB1477" s="310"/>
    </row>
    <row r="1478" spans="13:28" s="308" customFormat="1" x14ac:dyDescent="0.2">
      <c r="M1478" s="309"/>
      <c r="AB1478" s="310"/>
    </row>
    <row r="1479" spans="13:28" s="308" customFormat="1" x14ac:dyDescent="0.2">
      <c r="M1479" s="309"/>
      <c r="AB1479" s="310"/>
    </row>
    <row r="1480" spans="13:28" s="308" customFormat="1" x14ac:dyDescent="0.2">
      <c r="M1480" s="309"/>
      <c r="AB1480" s="310"/>
    </row>
    <row r="1481" spans="13:28" s="308" customFormat="1" x14ac:dyDescent="0.2">
      <c r="M1481" s="309"/>
      <c r="AB1481" s="310"/>
    </row>
    <row r="1482" spans="13:28" s="308" customFormat="1" x14ac:dyDescent="0.2">
      <c r="M1482" s="309"/>
      <c r="AB1482" s="310"/>
    </row>
    <row r="1483" spans="13:28" s="308" customFormat="1" x14ac:dyDescent="0.2">
      <c r="M1483" s="309"/>
      <c r="AB1483" s="310"/>
    </row>
    <row r="1484" spans="13:28" s="308" customFormat="1" x14ac:dyDescent="0.2">
      <c r="M1484" s="309"/>
      <c r="AB1484" s="310"/>
    </row>
    <row r="1485" spans="13:28" s="308" customFormat="1" x14ac:dyDescent="0.2">
      <c r="M1485" s="309"/>
      <c r="AB1485" s="310"/>
    </row>
    <row r="1486" spans="13:28" s="308" customFormat="1" x14ac:dyDescent="0.2">
      <c r="M1486" s="309"/>
      <c r="AB1486" s="310"/>
    </row>
    <row r="1487" spans="13:28" s="308" customFormat="1" x14ac:dyDescent="0.2">
      <c r="M1487" s="309"/>
      <c r="AB1487" s="310"/>
    </row>
    <row r="1488" spans="13:28" s="308" customFormat="1" x14ac:dyDescent="0.2">
      <c r="M1488" s="309"/>
      <c r="AB1488" s="310"/>
    </row>
    <row r="1489" spans="13:28" s="308" customFormat="1" x14ac:dyDescent="0.2">
      <c r="M1489" s="309"/>
      <c r="AB1489" s="310"/>
    </row>
    <row r="1490" spans="13:28" s="308" customFormat="1" x14ac:dyDescent="0.2">
      <c r="M1490" s="309"/>
      <c r="AB1490" s="310"/>
    </row>
    <row r="1491" spans="13:28" s="308" customFormat="1" x14ac:dyDescent="0.2">
      <c r="M1491" s="309"/>
      <c r="AB1491" s="310"/>
    </row>
    <row r="1492" spans="13:28" s="308" customFormat="1" x14ac:dyDescent="0.2">
      <c r="M1492" s="309"/>
      <c r="AB1492" s="310"/>
    </row>
    <row r="1493" spans="13:28" s="308" customFormat="1" x14ac:dyDescent="0.2">
      <c r="M1493" s="309"/>
      <c r="AB1493" s="310"/>
    </row>
    <row r="1494" spans="13:28" s="308" customFormat="1" x14ac:dyDescent="0.2">
      <c r="M1494" s="309"/>
      <c r="AB1494" s="310"/>
    </row>
    <row r="1495" spans="13:28" s="308" customFormat="1" x14ac:dyDescent="0.2">
      <c r="M1495" s="309"/>
      <c r="AB1495" s="310"/>
    </row>
    <row r="1496" spans="13:28" s="308" customFormat="1" x14ac:dyDescent="0.2">
      <c r="M1496" s="309"/>
      <c r="AB1496" s="310"/>
    </row>
    <row r="1497" spans="13:28" s="308" customFormat="1" x14ac:dyDescent="0.2">
      <c r="M1497" s="309"/>
      <c r="AB1497" s="310"/>
    </row>
    <row r="1498" spans="13:28" s="308" customFormat="1" x14ac:dyDescent="0.2">
      <c r="M1498" s="309"/>
      <c r="AB1498" s="310"/>
    </row>
    <row r="1499" spans="13:28" s="308" customFormat="1" x14ac:dyDescent="0.2">
      <c r="M1499" s="309"/>
      <c r="AB1499" s="310"/>
    </row>
    <row r="1500" spans="13:28" s="308" customFormat="1" x14ac:dyDescent="0.2">
      <c r="M1500" s="309"/>
      <c r="AB1500" s="310"/>
    </row>
    <row r="1501" spans="13:28" s="308" customFormat="1" x14ac:dyDescent="0.2">
      <c r="M1501" s="309"/>
      <c r="AB1501" s="310"/>
    </row>
    <row r="1502" spans="13:28" s="308" customFormat="1" x14ac:dyDescent="0.2">
      <c r="M1502" s="309"/>
      <c r="AB1502" s="310"/>
    </row>
    <row r="1503" spans="13:28" s="308" customFormat="1" x14ac:dyDescent="0.2">
      <c r="M1503" s="309"/>
      <c r="AB1503" s="310"/>
    </row>
    <row r="1504" spans="13:28" s="308" customFormat="1" x14ac:dyDescent="0.2">
      <c r="M1504" s="309"/>
      <c r="AB1504" s="310"/>
    </row>
    <row r="1505" spans="13:28" s="308" customFormat="1" x14ac:dyDescent="0.2">
      <c r="M1505" s="309"/>
      <c r="AB1505" s="310"/>
    </row>
    <row r="1506" spans="13:28" s="308" customFormat="1" x14ac:dyDescent="0.2">
      <c r="M1506" s="309"/>
      <c r="AB1506" s="310"/>
    </row>
    <row r="1507" spans="13:28" s="308" customFormat="1" x14ac:dyDescent="0.2">
      <c r="M1507" s="309"/>
      <c r="AB1507" s="310"/>
    </row>
    <row r="1508" spans="13:28" s="308" customFormat="1" x14ac:dyDescent="0.2">
      <c r="M1508" s="309"/>
      <c r="AB1508" s="310"/>
    </row>
    <row r="1509" spans="13:28" s="308" customFormat="1" x14ac:dyDescent="0.2">
      <c r="M1509" s="309"/>
      <c r="AB1509" s="310"/>
    </row>
    <row r="1510" spans="13:28" s="308" customFormat="1" x14ac:dyDescent="0.2">
      <c r="M1510" s="309"/>
      <c r="AB1510" s="310"/>
    </row>
    <row r="1511" spans="13:28" s="308" customFormat="1" x14ac:dyDescent="0.2">
      <c r="M1511" s="309"/>
      <c r="AB1511" s="310"/>
    </row>
    <row r="1512" spans="13:28" s="308" customFormat="1" x14ac:dyDescent="0.2">
      <c r="M1512" s="309"/>
      <c r="AB1512" s="310"/>
    </row>
    <row r="1513" spans="13:28" s="308" customFormat="1" x14ac:dyDescent="0.2">
      <c r="M1513" s="309"/>
      <c r="AB1513" s="310"/>
    </row>
    <row r="1514" spans="13:28" s="308" customFormat="1" x14ac:dyDescent="0.2">
      <c r="M1514" s="309"/>
      <c r="AB1514" s="310"/>
    </row>
    <row r="1515" spans="13:28" s="308" customFormat="1" x14ac:dyDescent="0.2">
      <c r="M1515" s="309"/>
      <c r="AB1515" s="310"/>
    </row>
    <row r="1516" spans="13:28" s="308" customFormat="1" x14ac:dyDescent="0.2">
      <c r="M1516" s="309"/>
      <c r="AB1516" s="310"/>
    </row>
    <row r="1517" spans="13:28" s="308" customFormat="1" x14ac:dyDescent="0.2">
      <c r="M1517" s="309"/>
      <c r="AB1517" s="310"/>
    </row>
    <row r="1518" spans="13:28" s="308" customFormat="1" x14ac:dyDescent="0.2">
      <c r="M1518" s="309"/>
      <c r="AB1518" s="310"/>
    </row>
    <row r="1519" spans="13:28" s="308" customFormat="1" x14ac:dyDescent="0.2">
      <c r="M1519" s="309"/>
      <c r="AB1519" s="310"/>
    </row>
    <row r="1520" spans="13:28" s="308" customFormat="1" x14ac:dyDescent="0.2">
      <c r="M1520" s="309"/>
      <c r="AB1520" s="310"/>
    </row>
    <row r="1521" spans="13:28" s="308" customFormat="1" x14ac:dyDescent="0.2">
      <c r="M1521" s="309"/>
      <c r="AB1521" s="310"/>
    </row>
    <row r="1522" spans="13:28" s="308" customFormat="1" x14ac:dyDescent="0.2">
      <c r="M1522" s="309"/>
      <c r="AB1522" s="310"/>
    </row>
    <row r="1523" spans="13:28" s="308" customFormat="1" x14ac:dyDescent="0.2">
      <c r="M1523" s="309"/>
      <c r="AB1523" s="310"/>
    </row>
    <row r="1524" spans="13:28" s="308" customFormat="1" x14ac:dyDescent="0.2">
      <c r="M1524" s="309"/>
      <c r="AB1524" s="310"/>
    </row>
    <row r="1525" spans="13:28" s="308" customFormat="1" x14ac:dyDescent="0.2">
      <c r="M1525" s="309"/>
      <c r="AB1525" s="310"/>
    </row>
    <row r="1526" spans="13:28" s="308" customFormat="1" x14ac:dyDescent="0.2">
      <c r="M1526" s="309"/>
      <c r="AB1526" s="310"/>
    </row>
    <row r="1527" spans="13:28" s="308" customFormat="1" x14ac:dyDescent="0.2">
      <c r="M1527" s="309"/>
      <c r="AB1527" s="310"/>
    </row>
    <row r="1528" spans="13:28" s="308" customFormat="1" x14ac:dyDescent="0.2">
      <c r="M1528" s="309"/>
      <c r="AB1528" s="310"/>
    </row>
    <row r="1529" spans="13:28" s="308" customFormat="1" x14ac:dyDescent="0.2">
      <c r="M1529" s="309"/>
      <c r="AB1529" s="310"/>
    </row>
    <row r="1530" spans="13:28" s="308" customFormat="1" x14ac:dyDescent="0.2">
      <c r="M1530" s="309"/>
      <c r="AB1530" s="310"/>
    </row>
    <row r="1531" spans="13:28" s="308" customFormat="1" x14ac:dyDescent="0.2">
      <c r="M1531" s="309"/>
      <c r="AB1531" s="310"/>
    </row>
    <row r="1532" spans="13:28" s="308" customFormat="1" x14ac:dyDescent="0.2">
      <c r="M1532" s="309"/>
      <c r="AB1532" s="310"/>
    </row>
    <row r="1533" spans="13:28" s="308" customFormat="1" x14ac:dyDescent="0.2">
      <c r="M1533" s="309"/>
      <c r="AB1533" s="310"/>
    </row>
    <row r="1534" spans="13:28" s="308" customFormat="1" x14ac:dyDescent="0.2">
      <c r="M1534" s="309"/>
      <c r="AB1534" s="310"/>
    </row>
    <row r="1535" spans="13:28" s="308" customFormat="1" x14ac:dyDescent="0.2">
      <c r="M1535" s="309"/>
      <c r="AB1535" s="310"/>
    </row>
    <row r="1536" spans="13:28" s="308" customFormat="1" x14ac:dyDescent="0.2">
      <c r="M1536" s="309"/>
      <c r="AB1536" s="310"/>
    </row>
    <row r="1537" spans="13:28" s="308" customFormat="1" x14ac:dyDescent="0.2">
      <c r="M1537" s="309"/>
      <c r="AB1537" s="310"/>
    </row>
    <row r="1538" spans="13:28" s="308" customFormat="1" x14ac:dyDescent="0.2">
      <c r="M1538" s="309"/>
      <c r="AB1538" s="310"/>
    </row>
    <row r="1539" spans="13:28" s="308" customFormat="1" x14ac:dyDescent="0.2">
      <c r="M1539" s="309"/>
      <c r="AB1539" s="310"/>
    </row>
    <row r="1540" spans="13:28" s="308" customFormat="1" x14ac:dyDescent="0.2">
      <c r="M1540" s="309"/>
      <c r="AB1540" s="310"/>
    </row>
    <row r="1541" spans="13:28" s="308" customFormat="1" x14ac:dyDescent="0.2">
      <c r="M1541" s="309"/>
      <c r="AB1541" s="310"/>
    </row>
    <row r="1542" spans="13:28" s="308" customFormat="1" x14ac:dyDescent="0.2">
      <c r="M1542" s="309"/>
      <c r="AB1542" s="310"/>
    </row>
    <row r="1543" spans="13:28" s="308" customFormat="1" x14ac:dyDescent="0.2">
      <c r="M1543" s="309"/>
      <c r="AB1543" s="310"/>
    </row>
    <row r="1544" spans="13:28" s="308" customFormat="1" x14ac:dyDescent="0.2">
      <c r="M1544" s="309"/>
      <c r="AB1544" s="310"/>
    </row>
    <row r="1545" spans="13:28" s="308" customFormat="1" x14ac:dyDescent="0.2">
      <c r="M1545" s="309"/>
      <c r="AB1545" s="310"/>
    </row>
    <row r="1546" spans="13:28" s="308" customFormat="1" x14ac:dyDescent="0.2">
      <c r="M1546" s="309"/>
      <c r="AB1546" s="310"/>
    </row>
    <row r="1547" spans="13:28" s="308" customFormat="1" x14ac:dyDescent="0.2">
      <c r="M1547" s="309"/>
      <c r="AB1547" s="310"/>
    </row>
    <row r="1548" spans="13:28" s="308" customFormat="1" x14ac:dyDescent="0.2">
      <c r="M1548" s="309"/>
      <c r="AB1548" s="310"/>
    </row>
    <row r="1549" spans="13:28" s="308" customFormat="1" x14ac:dyDescent="0.2">
      <c r="M1549" s="309"/>
      <c r="AB1549" s="310"/>
    </row>
    <row r="1550" spans="13:28" s="308" customFormat="1" x14ac:dyDescent="0.2">
      <c r="M1550" s="309"/>
      <c r="AB1550" s="310"/>
    </row>
    <row r="1551" spans="13:28" s="308" customFormat="1" x14ac:dyDescent="0.2">
      <c r="M1551" s="309"/>
      <c r="AB1551" s="310"/>
    </row>
    <row r="1552" spans="13:28" s="308" customFormat="1" x14ac:dyDescent="0.2">
      <c r="M1552" s="309"/>
      <c r="AB1552" s="310"/>
    </row>
    <row r="1553" spans="13:28" s="308" customFormat="1" x14ac:dyDescent="0.2">
      <c r="M1553" s="309"/>
      <c r="AB1553" s="310"/>
    </row>
    <row r="1554" spans="13:28" s="308" customFormat="1" x14ac:dyDescent="0.2">
      <c r="M1554" s="309"/>
      <c r="AB1554" s="310"/>
    </row>
    <row r="1555" spans="13:28" s="308" customFormat="1" x14ac:dyDescent="0.2">
      <c r="M1555" s="309"/>
      <c r="AB1555" s="310"/>
    </row>
    <row r="1556" spans="13:28" s="308" customFormat="1" x14ac:dyDescent="0.2">
      <c r="M1556" s="309"/>
      <c r="AB1556" s="310"/>
    </row>
    <row r="1557" spans="13:28" s="308" customFormat="1" x14ac:dyDescent="0.2">
      <c r="M1557" s="309"/>
      <c r="AB1557" s="310"/>
    </row>
    <row r="1558" spans="13:28" s="308" customFormat="1" x14ac:dyDescent="0.2">
      <c r="M1558" s="309"/>
      <c r="AB1558" s="310"/>
    </row>
    <row r="1559" spans="13:28" s="308" customFormat="1" x14ac:dyDescent="0.2">
      <c r="M1559" s="309"/>
      <c r="AB1559" s="310"/>
    </row>
    <row r="1560" spans="13:28" s="308" customFormat="1" x14ac:dyDescent="0.2">
      <c r="M1560" s="309"/>
      <c r="AB1560" s="310"/>
    </row>
    <row r="1561" spans="13:28" s="308" customFormat="1" x14ac:dyDescent="0.2">
      <c r="M1561" s="309"/>
      <c r="AB1561" s="310"/>
    </row>
    <row r="1562" spans="13:28" s="308" customFormat="1" x14ac:dyDescent="0.2">
      <c r="M1562" s="309"/>
      <c r="AB1562" s="310"/>
    </row>
    <row r="1563" spans="13:28" s="308" customFormat="1" x14ac:dyDescent="0.2">
      <c r="M1563" s="309"/>
      <c r="AB1563" s="310"/>
    </row>
    <row r="1564" spans="13:28" s="308" customFormat="1" x14ac:dyDescent="0.2">
      <c r="M1564" s="309"/>
      <c r="AB1564" s="310"/>
    </row>
    <row r="1565" spans="13:28" s="308" customFormat="1" x14ac:dyDescent="0.2">
      <c r="M1565" s="309"/>
      <c r="AB1565" s="310"/>
    </row>
    <row r="1566" spans="13:28" s="308" customFormat="1" x14ac:dyDescent="0.2">
      <c r="M1566" s="309"/>
      <c r="AB1566" s="310"/>
    </row>
    <row r="1567" spans="13:28" s="308" customFormat="1" x14ac:dyDescent="0.2">
      <c r="M1567" s="309"/>
      <c r="AB1567" s="310"/>
    </row>
    <row r="1568" spans="13:28" s="308" customFormat="1" x14ac:dyDescent="0.2">
      <c r="M1568" s="309"/>
      <c r="AB1568" s="310"/>
    </row>
    <row r="1569" spans="13:28" s="308" customFormat="1" x14ac:dyDescent="0.2">
      <c r="M1569" s="309"/>
      <c r="AB1569" s="310"/>
    </row>
    <row r="1570" spans="13:28" s="308" customFormat="1" x14ac:dyDescent="0.2">
      <c r="M1570" s="309"/>
      <c r="AB1570" s="310"/>
    </row>
    <row r="1571" spans="13:28" s="308" customFormat="1" x14ac:dyDescent="0.2">
      <c r="M1571" s="309"/>
      <c r="AB1571" s="310"/>
    </row>
    <row r="1572" spans="13:28" s="308" customFormat="1" x14ac:dyDescent="0.2">
      <c r="M1572" s="309"/>
      <c r="AB1572" s="310"/>
    </row>
    <row r="1573" spans="13:28" s="308" customFormat="1" x14ac:dyDescent="0.2">
      <c r="M1573" s="309"/>
      <c r="AB1573" s="310"/>
    </row>
    <row r="1574" spans="13:28" s="308" customFormat="1" x14ac:dyDescent="0.2">
      <c r="M1574" s="309"/>
      <c r="AB1574" s="310"/>
    </row>
    <row r="1575" spans="13:28" s="308" customFormat="1" x14ac:dyDescent="0.2">
      <c r="M1575" s="309"/>
      <c r="AB1575" s="310"/>
    </row>
    <row r="1576" spans="13:28" s="308" customFormat="1" x14ac:dyDescent="0.2">
      <c r="M1576" s="309"/>
      <c r="AB1576" s="310"/>
    </row>
    <row r="1577" spans="13:28" s="308" customFormat="1" x14ac:dyDescent="0.2">
      <c r="M1577" s="309"/>
      <c r="AB1577" s="310"/>
    </row>
    <row r="1578" spans="13:28" s="308" customFormat="1" x14ac:dyDescent="0.2">
      <c r="M1578" s="309"/>
      <c r="AB1578" s="310"/>
    </row>
    <row r="1579" spans="13:28" s="308" customFormat="1" x14ac:dyDescent="0.2">
      <c r="M1579" s="309"/>
      <c r="AB1579" s="310"/>
    </row>
    <row r="1580" spans="13:28" s="308" customFormat="1" x14ac:dyDescent="0.2">
      <c r="M1580" s="309"/>
      <c r="AB1580" s="310"/>
    </row>
    <row r="1581" spans="13:28" s="308" customFormat="1" x14ac:dyDescent="0.2">
      <c r="M1581" s="309"/>
      <c r="AB1581" s="310"/>
    </row>
    <row r="1582" spans="13:28" s="308" customFormat="1" x14ac:dyDescent="0.2">
      <c r="M1582" s="309"/>
      <c r="AB1582" s="310"/>
    </row>
    <row r="1583" spans="13:28" s="308" customFormat="1" x14ac:dyDescent="0.2">
      <c r="M1583" s="309"/>
      <c r="AB1583" s="310"/>
    </row>
    <row r="1584" spans="13:28" s="308" customFormat="1" x14ac:dyDescent="0.2">
      <c r="M1584" s="309"/>
      <c r="AB1584" s="310"/>
    </row>
    <row r="1585" spans="13:28" s="308" customFormat="1" x14ac:dyDescent="0.2">
      <c r="M1585" s="309"/>
      <c r="AB1585" s="310"/>
    </row>
    <row r="1586" spans="13:28" s="308" customFormat="1" x14ac:dyDescent="0.2">
      <c r="M1586" s="309"/>
      <c r="AB1586" s="310"/>
    </row>
    <row r="1587" spans="13:28" s="308" customFormat="1" x14ac:dyDescent="0.2">
      <c r="M1587" s="309"/>
      <c r="AB1587" s="310"/>
    </row>
    <row r="1588" spans="13:28" s="308" customFormat="1" x14ac:dyDescent="0.2">
      <c r="M1588" s="309"/>
      <c r="AB1588" s="310"/>
    </row>
    <row r="1589" spans="13:28" s="308" customFormat="1" x14ac:dyDescent="0.2">
      <c r="M1589" s="309"/>
      <c r="AB1589" s="310"/>
    </row>
    <row r="1590" spans="13:28" s="308" customFormat="1" x14ac:dyDescent="0.2">
      <c r="M1590" s="309"/>
      <c r="AB1590" s="310"/>
    </row>
    <row r="1591" spans="13:28" s="308" customFormat="1" x14ac:dyDescent="0.2">
      <c r="M1591" s="309"/>
      <c r="AB1591" s="310"/>
    </row>
    <row r="1592" spans="13:28" s="308" customFormat="1" x14ac:dyDescent="0.2">
      <c r="M1592" s="309"/>
      <c r="AB1592" s="310"/>
    </row>
    <row r="1593" spans="13:28" s="308" customFormat="1" x14ac:dyDescent="0.2">
      <c r="M1593" s="309"/>
      <c r="AB1593" s="310"/>
    </row>
    <row r="1594" spans="13:28" s="308" customFormat="1" x14ac:dyDescent="0.2">
      <c r="M1594" s="309"/>
      <c r="AB1594" s="310"/>
    </row>
    <row r="1595" spans="13:28" s="308" customFormat="1" x14ac:dyDescent="0.2">
      <c r="M1595" s="309"/>
      <c r="AB1595" s="310"/>
    </row>
    <row r="1596" spans="13:28" s="308" customFormat="1" x14ac:dyDescent="0.2">
      <c r="M1596" s="309"/>
      <c r="AB1596" s="310"/>
    </row>
    <row r="1597" spans="13:28" s="308" customFormat="1" x14ac:dyDescent="0.2">
      <c r="M1597" s="309"/>
      <c r="AB1597" s="310"/>
    </row>
    <row r="1598" spans="13:28" s="308" customFormat="1" x14ac:dyDescent="0.2">
      <c r="M1598" s="309"/>
      <c r="AB1598" s="310"/>
    </row>
    <row r="1599" spans="13:28" s="308" customFormat="1" x14ac:dyDescent="0.2">
      <c r="M1599" s="309"/>
      <c r="AB1599" s="310"/>
    </row>
    <row r="1600" spans="13:28" s="308" customFormat="1" x14ac:dyDescent="0.2">
      <c r="M1600" s="309"/>
      <c r="AB1600" s="310"/>
    </row>
    <row r="1601" spans="13:28" s="308" customFormat="1" x14ac:dyDescent="0.2">
      <c r="M1601" s="309"/>
      <c r="AB1601" s="310"/>
    </row>
    <row r="1602" spans="13:28" s="308" customFormat="1" x14ac:dyDescent="0.2">
      <c r="M1602" s="309"/>
      <c r="AB1602" s="310"/>
    </row>
    <row r="1603" spans="13:28" s="308" customFormat="1" x14ac:dyDescent="0.2">
      <c r="M1603" s="309"/>
      <c r="AB1603" s="310"/>
    </row>
    <row r="1604" spans="13:28" s="308" customFormat="1" x14ac:dyDescent="0.2">
      <c r="M1604" s="309"/>
      <c r="AB1604" s="310"/>
    </row>
    <row r="1605" spans="13:28" s="308" customFormat="1" x14ac:dyDescent="0.2">
      <c r="M1605" s="309"/>
      <c r="AB1605" s="310"/>
    </row>
    <row r="1606" spans="13:28" s="308" customFormat="1" x14ac:dyDescent="0.2">
      <c r="M1606" s="309"/>
      <c r="AB1606" s="310"/>
    </row>
    <row r="1607" spans="13:28" s="308" customFormat="1" x14ac:dyDescent="0.2">
      <c r="M1607" s="309"/>
      <c r="AB1607" s="310"/>
    </row>
    <row r="1608" spans="13:28" s="308" customFormat="1" x14ac:dyDescent="0.2">
      <c r="M1608" s="309"/>
      <c r="AB1608" s="310"/>
    </row>
    <row r="1609" spans="13:28" s="308" customFormat="1" x14ac:dyDescent="0.2">
      <c r="M1609" s="309"/>
      <c r="AB1609" s="310"/>
    </row>
    <row r="1610" spans="13:28" s="308" customFormat="1" x14ac:dyDescent="0.2">
      <c r="M1610" s="309"/>
      <c r="AB1610" s="310"/>
    </row>
    <row r="1611" spans="13:28" s="308" customFormat="1" x14ac:dyDescent="0.2">
      <c r="M1611" s="309"/>
      <c r="AB1611" s="310"/>
    </row>
    <row r="1612" spans="13:28" s="308" customFormat="1" x14ac:dyDescent="0.2">
      <c r="M1612" s="309"/>
      <c r="AB1612" s="310"/>
    </row>
    <row r="1613" spans="13:28" s="308" customFormat="1" x14ac:dyDescent="0.2">
      <c r="M1613" s="309"/>
      <c r="AB1613" s="310"/>
    </row>
    <row r="1614" spans="13:28" s="308" customFormat="1" x14ac:dyDescent="0.2">
      <c r="M1614" s="309"/>
      <c r="AB1614" s="310"/>
    </row>
    <row r="1615" spans="13:28" s="308" customFormat="1" x14ac:dyDescent="0.2">
      <c r="M1615" s="309"/>
      <c r="AB1615" s="310"/>
    </row>
    <row r="1616" spans="13:28" s="308" customFormat="1" x14ac:dyDescent="0.2">
      <c r="M1616" s="309"/>
      <c r="AB1616" s="310"/>
    </row>
    <row r="1617" spans="13:28" s="308" customFormat="1" x14ac:dyDescent="0.2">
      <c r="M1617" s="309"/>
      <c r="AB1617" s="310"/>
    </row>
    <row r="1618" spans="13:28" s="308" customFormat="1" x14ac:dyDescent="0.2">
      <c r="M1618" s="309"/>
      <c r="AB1618" s="310"/>
    </row>
    <row r="1619" spans="13:28" s="308" customFormat="1" x14ac:dyDescent="0.2">
      <c r="M1619" s="309"/>
      <c r="AB1619" s="310"/>
    </row>
    <row r="1620" spans="13:28" s="308" customFormat="1" x14ac:dyDescent="0.2">
      <c r="M1620" s="309"/>
      <c r="AB1620" s="310"/>
    </row>
    <row r="1621" spans="13:28" s="308" customFormat="1" x14ac:dyDescent="0.2">
      <c r="M1621" s="309"/>
      <c r="AB1621" s="310"/>
    </row>
    <row r="1622" spans="13:28" s="308" customFormat="1" x14ac:dyDescent="0.2">
      <c r="M1622" s="309"/>
      <c r="AB1622" s="310"/>
    </row>
    <row r="1623" spans="13:28" s="308" customFormat="1" x14ac:dyDescent="0.2">
      <c r="M1623" s="309"/>
      <c r="AB1623" s="310"/>
    </row>
    <row r="1624" spans="13:28" s="308" customFormat="1" x14ac:dyDescent="0.2">
      <c r="M1624" s="309"/>
      <c r="AB1624" s="310"/>
    </row>
    <row r="1625" spans="13:28" s="308" customFormat="1" x14ac:dyDescent="0.2">
      <c r="M1625" s="309"/>
      <c r="AB1625" s="310"/>
    </row>
    <row r="1626" spans="13:28" s="308" customFormat="1" x14ac:dyDescent="0.2">
      <c r="M1626" s="309"/>
      <c r="AB1626" s="310"/>
    </row>
    <row r="1627" spans="13:28" s="308" customFormat="1" x14ac:dyDescent="0.2">
      <c r="M1627" s="309"/>
      <c r="AB1627" s="310"/>
    </row>
    <row r="1628" spans="13:28" s="308" customFormat="1" x14ac:dyDescent="0.2">
      <c r="M1628" s="309"/>
      <c r="AB1628" s="310"/>
    </row>
    <row r="1629" spans="13:28" s="308" customFormat="1" x14ac:dyDescent="0.2">
      <c r="M1629" s="309"/>
      <c r="AB1629" s="310"/>
    </row>
    <row r="1630" spans="13:28" s="308" customFormat="1" x14ac:dyDescent="0.2">
      <c r="M1630" s="309"/>
      <c r="AB1630" s="310"/>
    </row>
    <row r="1631" spans="13:28" s="308" customFormat="1" x14ac:dyDescent="0.2">
      <c r="M1631" s="309"/>
      <c r="AB1631" s="310"/>
    </row>
    <row r="1632" spans="13:28" s="308" customFormat="1" x14ac:dyDescent="0.2">
      <c r="M1632" s="309"/>
      <c r="AB1632" s="310"/>
    </row>
    <row r="1633" spans="13:28" s="308" customFormat="1" x14ac:dyDescent="0.2">
      <c r="M1633" s="309"/>
      <c r="AB1633" s="310"/>
    </row>
    <row r="1634" spans="13:28" s="308" customFormat="1" x14ac:dyDescent="0.2">
      <c r="M1634" s="309"/>
      <c r="AB1634" s="310"/>
    </row>
    <row r="1635" spans="13:28" s="308" customFormat="1" x14ac:dyDescent="0.2">
      <c r="M1635" s="309"/>
      <c r="AB1635" s="310"/>
    </row>
    <row r="1636" spans="13:28" s="308" customFormat="1" x14ac:dyDescent="0.2">
      <c r="M1636" s="309"/>
      <c r="AB1636" s="310"/>
    </row>
    <row r="1637" spans="13:28" s="308" customFormat="1" x14ac:dyDescent="0.2">
      <c r="M1637" s="309"/>
      <c r="AB1637" s="310"/>
    </row>
    <row r="1638" spans="13:28" s="308" customFormat="1" x14ac:dyDescent="0.2">
      <c r="M1638" s="309"/>
      <c r="AB1638" s="310"/>
    </row>
    <row r="1639" spans="13:28" s="308" customFormat="1" x14ac:dyDescent="0.2">
      <c r="M1639" s="309"/>
      <c r="AB1639" s="310"/>
    </row>
    <row r="1640" spans="13:28" s="308" customFormat="1" x14ac:dyDescent="0.2">
      <c r="M1640" s="309"/>
      <c r="AB1640" s="310"/>
    </row>
    <row r="1641" spans="13:28" s="308" customFormat="1" x14ac:dyDescent="0.2">
      <c r="M1641" s="309"/>
      <c r="AB1641" s="310"/>
    </row>
    <row r="1642" spans="13:28" s="308" customFormat="1" x14ac:dyDescent="0.2">
      <c r="M1642" s="309"/>
      <c r="AB1642" s="310"/>
    </row>
    <row r="1643" spans="13:28" s="308" customFormat="1" x14ac:dyDescent="0.2">
      <c r="M1643" s="309"/>
      <c r="AB1643" s="310"/>
    </row>
    <row r="1644" spans="13:28" s="308" customFormat="1" x14ac:dyDescent="0.2">
      <c r="M1644" s="309"/>
      <c r="AB1644" s="310"/>
    </row>
    <row r="1645" spans="13:28" s="308" customFormat="1" x14ac:dyDescent="0.2">
      <c r="M1645" s="309"/>
      <c r="AB1645" s="310"/>
    </row>
    <row r="1646" spans="13:28" s="308" customFormat="1" x14ac:dyDescent="0.2">
      <c r="M1646" s="309"/>
      <c r="AB1646" s="310"/>
    </row>
    <row r="1647" spans="13:28" s="308" customFormat="1" x14ac:dyDescent="0.2">
      <c r="M1647" s="309"/>
      <c r="AB1647" s="310"/>
    </row>
    <row r="1648" spans="13:28" s="308" customFormat="1" x14ac:dyDescent="0.2">
      <c r="M1648" s="309"/>
      <c r="AB1648" s="310"/>
    </row>
    <row r="1649" spans="13:28" s="308" customFormat="1" x14ac:dyDescent="0.2">
      <c r="M1649" s="309"/>
      <c r="AB1649" s="310"/>
    </row>
    <row r="1650" spans="13:28" s="308" customFormat="1" x14ac:dyDescent="0.2">
      <c r="M1650" s="309"/>
      <c r="AB1650" s="310"/>
    </row>
    <row r="1651" spans="13:28" s="308" customFormat="1" x14ac:dyDescent="0.2">
      <c r="M1651" s="309"/>
      <c r="AB1651" s="310"/>
    </row>
    <row r="1652" spans="13:28" s="308" customFormat="1" x14ac:dyDescent="0.2">
      <c r="M1652" s="309"/>
      <c r="AB1652" s="310"/>
    </row>
    <row r="1653" spans="13:28" s="308" customFormat="1" x14ac:dyDescent="0.2">
      <c r="M1653" s="309"/>
      <c r="AB1653" s="310"/>
    </row>
    <row r="1654" spans="13:28" s="308" customFormat="1" x14ac:dyDescent="0.2">
      <c r="M1654" s="309"/>
      <c r="AB1654" s="310"/>
    </row>
    <row r="1655" spans="13:28" s="308" customFormat="1" x14ac:dyDescent="0.2">
      <c r="M1655" s="309"/>
      <c r="AB1655" s="310"/>
    </row>
    <row r="1656" spans="13:28" s="308" customFormat="1" x14ac:dyDescent="0.2">
      <c r="M1656" s="309"/>
      <c r="AB1656" s="310"/>
    </row>
    <row r="1657" spans="13:28" s="308" customFormat="1" x14ac:dyDescent="0.2">
      <c r="M1657" s="309"/>
      <c r="AB1657" s="310"/>
    </row>
    <row r="1658" spans="13:28" s="308" customFormat="1" x14ac:dyDescent="0.2">
      <c r="M1658" s="309"/>
      <c r="AB1658" s="310"/>
    </row>
    <row r="1659" spans="13:28" s="308" customFormat="1" x14ac:dyDescent="0.2">
      <c r="M1659" s="309"/>
      <c r="AB1659" s="310"/>
    </row>
    <row r="1660" spans="13:28" s="308" customFormat="1" x14ac:dyDescent="0.2">
      <c r="M1660" s="309"/>
      <c r="AB1660" s="310"/>
    </row>
    <row r="1661" spans="13:28" s="308" customFormat="1" x14ac:dyDescent="0.2">
      <c r="M1661" s="309"/>
      <c r="AB1661" s="310"/>
    </row>
    <row r="1662" spans="13:28" s="308" customFormat="1" x14ac:dyDescent="0.2">
      <c r="M1662" s="309"/>
      <c r="AB1662" s="310"/>
    </row>
    <row r="1663" spans="13:28" s="308" customFormat="1" x14ac:dyDescent="0.2">
      <c r="M1663" s="309"/>
      <c r="AB1663" s="310"/>
    </row>
    <row r="1664" spans="13:28" s="308" customFormat="1" x14ac:dyDescent="0.2">
      <c r="M1664" s="309"/>
      <c r="AB1664" s="310"/>
    </row>
    <row r="1665" spans="13:28" s="308" customFormat="1" x14ac:dyDescent="0.2">
      <c r="M1665" s="309"/>
      <c r="AB1665" s="310"/>
    </row>
    <row r="1666" spans="13:28" s="308" customFormat="1" x14ac:dyDescent="0.2">
      <c r="M1666" s="309"/>
      <c r="AB1666" s="310"/>
    </row>
    <row r="1667" spans="13:28" s="308" customFormat="1" x14ac:dyDescent="0.2">
      <c r="M1667" s="309"/>
      <c r="AB1667" s="310"/>
    </row>
    <row r="1668" spans="13:28" s="308" customFormat="1" x14ac:dyDescent="0.2">
      <c r="M1668" s="309"/>
      <c r="AB1668" s="310"/>
    </row>
    <row r="1669" spans="13:28" s="308" customFormat="1" x14ac:dyDescent="0.2">
      <c r="M1669" s="309"/>
      <c r="AB1669" s="310"/>
    </row>
    <row r="1670" spans="13:28" s="308" customFormat="1" x14ac:dyDescent="0.2">
      <c r="M1670" s="309"/>
      <c r="AB1670" s="310"/>
    </row>
    <row r="1671" spans="13:28" s="308" customFormat="1" x14ac:dyDescent="0.2">
      <c r="M1671" s="309"/>
      <c r="AB1671" s="310"/>
    </row>
    <row r="1672" spans="13:28" s="308" customFormat="1" x14ac:dyDescent="0.2">
      <c r="M1672" s="309"/>
      <c r="AB1672" s="310"/>
    </row>
    <row r="1673" spans="13:28" s="308" customFormat="1" x14ac:dyDescent="0.2">
      <c r="M1673" s="309"/>
      <c r="AB1673" s="310"/>
    </row>
    <row r="1674" spans="13:28" s="308" customFormat="1" x14ac:dyDescent="0.2">
      <c r="M1674" s="309"/>
      <c r="AB1674" s="310"/>
    </row>
    <row r="1675" spans="13:28" s="308" customFormat="1" x14ac:dyDescent="0.2">
      <c r="M1675" s="309"/>
      <c r="AB1675" s="310"/>
    </row>
    <row r="1676" spans="13:28" s="308" customFormat="1" x14ac:dyDescent="0.2">
      <c r="M1676" s="309"/>
      <c r="AB1676" s="310"/>
    </row>
    <row r="1677" spans="13:28" s="308" customFormat="1" x14ac:dyDescent="0.2">
      <c r="M1677" s="309"/>
      <c r="AB1677" s="310"/>
    </row>
    <row r="1678" spans="13:28" s="308" customFormat="1" x14ac:dyDescent="0.2">
      <c r="M1678" s="309"/>
      <c r="AB1678" s="310"/>
    </row>
    <row r="1679" spans="13:28" s="308" customFormat="1" x14ac:dyDescent="0.2">
      <c r="M1679" s="309"/>
      <c r="AB1679" s="310"/>
    </row>
    <row r="1680" spans="13:28" s="308" customFormat="1" x14ac:dyDescent="0.2">
      <c r="M1680" s="309"/>
      <c r="AB1680" s="310"/>
    </row>
    <row r="1681" spans="13:28" s="308" customFormat="1" x14ac:dyDescent="0.2">
      <c r="M1681" s="309"/>
      <c r="AB1681" s="310"/>
    </row>
    <row r="1682" spans="13:28" s="308" customFormat="1" x14ac:dyDescent="0.2">
      <c r="M1682" s="309"/>
      <c r="AB1682" s="310"/>
    </row>
    <row r="1683" spans="13:28" s="308" customFormat="1" x14ac:dyDescent="0.2">
      <c r="M1683" s="309"/>
      <c r="AB1683" s="310"/>
    </row>
    <row r="1684" spans="13:28" s="308" customFormat="1" x14ac:dyDescent="0.2">
      <c r="M1684" s="309"/>
      <c r="AB1684" s="310"/>
    </row>
    <row r="1685" spans="13:28" s="308" customFormat="1" x14ac:dyDescent="0.2">
      <c r="M1685" s="309"/>
      <c r="AB1685" s="310"/>
    </row>
    <row r="1686" spans="13:28" s="308" customFormat="1" x14ac:dyDescent="0.2">
      <c r="M1686" s="309"/>
      <c r="AB1686" s="310"/>
    </row>
    <row r="1687" spans="13:28" s="308" customFormat="1" x14ac:dyDescent="0.2">
      <c r="M1687" s="309"/>
      <c r="AB1687" s="310"/>
    </row>
    <row r="1688" spans="13:28" s="308" customFormat="1" x14ac:dyDescent="0.2">
      <c r="M1688" s="309"/>
      <c r="AB1688" s="310"/>
    </row>
    <row r="1689" spans="13:28" s="308" customFormat="1" x14ac:dyDescent="0.2">
      <c r="M1689" s="309"/>
      <c r="AB1689" s="310"/>
    </row>
    <row r="1690" spans="13:28" s="308" customFormat="1" x14ac:dyDescent="0.2">
      <c r="M1690" s="309"/>
      <c r="AB1690" s="310"/>
    </row>
    <row r="1691" spans="13:28" s="308" customFormat="1" x14ac:dyDescent="0.2">
      <c r="M1691" s="309"/>
      <c r="AB1691" s="310"/>
    </row>
    <row r="1692" spans="13:28" s="308" customFormat="1" x14ac:dyDescent="0.2">
      <c r="M1692" s="309"/>
      <c r="AB1692" s="310"/>
    </row>
    <row r="1693" spans="13:28" s="308" customFormat="1" x14ac:dyDescent="0.2">
      <c r="M1693" s="309"/>
      <c r="AB1693" s="310"/>
    </row>
    <row r="1694" spans="13:28" s="308" customFormat="1" x14ac:dyDescent="0.2">
      <c r="M1694" s="309"/>
      <c r="AB1694" s="310"/>
    </row>
    <row r="1695" spans="13:28" s="308" customFormat="1" x14ac:dyDescent="0.2">
      <c r="M1695" s="309"/>
      <c r="AB1695" s="310"/>
    </row>
    <row r="1696" spans="13:28" s="308" customFormat="1" x14ac:dyDescent="0.2">
      <c r="M1696" s="309"/>
      <c r="AB1696" s="310"/>
    </row>
    <row r="1697" spans="13:28" s="308" customFormat="1" x14ac:dyDescent="0.2">
      <c r="M1697" s="309"/>
      <c r="AB1697" s="310"/>
    </row>
    <row r="1698" spans="13:28" s="308" customFormat="1" x14ac:dyDescent="0.2">
      <c r="M1698" s="309"/>
      <c r="AB1698" s="310"/>
    </row>
    <row r="1699" spans="13:28" s="308" customFormat="1" x14ac:dyDescent="0.2">
      <c r="M1699" s="309"/>
      <c r="AB1699" s="310"/>
    </row>
    <row r="1700" spans="13:28" s="308" customFormat="1" x14ac:dyDescent="0.2">
      <c r="M1700" s="309"/>
      <c r="AB1700" s="310"/>
    </row>
    <row r="1701" spans="13:28" s="308" customFormat="1" x14ac:dyDescent="0.2">
      <c r="M1701" s="309"/>
      <c r="AB1701" s="310"/>
    </row>
    <row r="1702" spans="13:28" s="308" customFormat="1" x14ac:dyDescent="0.2">
      <c r="M1702" s="309"/>
      <c r="AB1702" s="310"/>
    </row>
    <row r="1703" spans="13:28" s="308" customFormat="1" x14ac:dyDescent="0.2">
      <c r="M1703" s="309"/>
      <c r="AB1703" s="310"/>
    </row>
    <row r="1704" spans="13:28" s="308" customFormat="1" x14ac:dyDescent="0.2">
      <c r="M1704" s="309"/>
      <c r="AB1704" s="310"/>
    </row>
    <row r="1705" spans="13:28" s="308" customFormat="1" x14ac:dyDescent="0.2">
      <c r="M1705" s="309"/>
      <c r="AB1705" s="310"/>
    </row>
    <row r="1706" spans="13:28" s="308" customFormat="1" x14ac:dyDescent="0.2">
      <c r="M1706" s="309"/>
      <c r="AB1706" s="310"/>
    </row>
    <row r="1707" spans="13:28" s="308" customFormat="1" x14ac:dyDescent="0.2">
      <c r="M1707" s="309"/>
      <c r="AB1707" s="310"/>
    </row>
    <row r="1708" spans="13:28" s="308" customFormat="1" x14ac:dyDescent="0.2">
      <c r="M1708" s="309"/>
      <c r="AB1708" s="310"/>
    </row>
    <row r="1709" spans="13:28" s="308" customFormat="1" x14ac:dyDescent="0.2">
      <c r="M1709" s="309"/>
      <c r="AB1709" s="310"/>
    </row>
    <row r="1710" spans="13:28" s="308" customFormat="1" x14ac:dyDescent="0.2">
      <c r="M1710" s="309"/>
      <c r="AB1710" s="310"/>
    </row>
    <row r="1711" spans="13:28" s="308" customFormat="1" x14ac:dyDescent="0.2">
      <c r="M1711" s="309"/>
      <c r="AB1711" s="310"/>
    </row>
    <row r="1712" spans="13:28" s="308" customFormat="1" x14ac:dyDescent="0.2">
      <c r="M1712" s="309"/>
      <c r="AB1712" s="310"/>
    </row>
    <row r="1713" spans="13:28" s="308" customFormat="1" x14ac:dyDescent="0.2">
      <c r="M1713" s="309"/>
      <c r="AB1713" s="310"/>
    </row>
    <row r="1714" spans="13:28" s="308" customFormat="1" x14ac:dyDescent="0.2">
      <c r="M1714" s="309"/>
      <c r="AB1714" s="310"/>
    </row>
    <row r="1715" spans="13:28" s="308" customFormat="1" x14ac:dyDescent="0.2">
      <c r="M1715" s="309"/>
      <c r="AB1715" s="310"/>
    </row>
    <row r="1716" spans="13:28" s="308" customFormat="1" x14ac:dyDescent="0.2">
      <c r="M1716" s="309"/>
      <c r="AB1716" s="310"/>
    </row>
    <row r="1717" spans="13:28" s="308" customFormat="1" x14ac:dyDescent="0.2">
      <c r="M1717" s="309"/>
      <c r="AB1717" s="310"/>
    </row>
    <row r="1718" spans="13:28" s="308" customFormat="1" x14ac:dyDescent="0.2">
      <c r="M1718" s="309"/>
      <c r="AB1718" s="310"/>
    </row>
    <row r="1719" spans="13:28" s="308" customFormat="1" x14ac:dyDescent="0.2">
      <c r="M1719" s="309"/>
      <c r="AB1719" s="310"/>
    </row>
    <row r="1720" spans="13:28" s="308" customFormat="1" x14ac:dyDescent="0.2">
      <c r="M1720" s="309"/>
      <c r="AB1720" s="310"/>
    </row>
    <row r="1721" spans="13:28" s="308" customFormat="1" x14ac:dyDescent="0.2">
      <c r="M1721" s="309"/>
      <c r="AB1721" s="310"/>
    </row>
    <row r="1722" spans="13:28" s="308" customFormat="1" x14ac:dyDescent="0.2">
      <c r="M1722" s="309"/>
      <c r="AB1722" s="310"/>
    </row>
    <row r="1723" spans="13:28" s="308" customFormat="1" x14ac:dyDescent="0.2">
      <c r="M1723" s="309"/>
      <c r="AB1723" s="310"/>
    </row>
    <row r="1724" spans="13:28" s="308" customFormat="1" x14ac:dyDescent="0.2">
      <c r="M1724" s="309"/>
      <c r="AB1724" s="310"/>
    </row>
    <row r="1725" spans="13:28" s="308" customFormat="1" x14ac:dyDescent="0.2">
      <c r="M1725" s="309"/>
      <c r="AB1725" s="310"/>
    </row>
    <row r="1726" spans="13:28" s="308" customFormat="1" x14ac:dyDescent="0.2">
      <c r="M1726" s="309"/>
      <c r="AB1726" s="310"/>
    </row>
    <row r="1727" spans="13:28" s="308" customFormat="1" x14ac:dyDescent="0.2">
      <c r="M1727" s="309"/>
      <c r="AB1727" s="310"/>
    </row>
    <row r="1728" spans="13:28" s="308" customFormat="1" x14ac:dyDescent="0.2">
      <c r="M1728" s="309"/>
      <c r="AB1728" s="310"/>
    </row>
    <row r="1729" spans="13:28" s="308" customFormat="1" x14ac:dyDescent="0.2">
      <c r="M1729" s="309"/>
      <c r="AB1729" s="310"/>
    </row>
    <row r="1730" spans="13:28" s="308" customFormat="1" x14ac:dyDescent="0.2">
      <c r="M1730" s="309"/>
      <c r="AB1730" s="310"/>
    </row>
    <row r="1731" spans="13:28" s="308" customFormat="1" x14ac:dyDescent="0.2">
      <c r="M1731" s="309"/>
      <c r="AB1731" s="310"/>
    </row>
    <row r="1732" spans="13:28" s="308" customFormat="1" x14ac:dyDescent="0.2">
      <c r="M1732" s="309"/>
      <c r="AB1732" s="310"/>
    </row>
    <row r="1733" spans="13:28" s="308" customFormat="1" x14ac:dyDescent="0.2">
      <c r="M1733" s="309"/>
      <c r="AB1733" s="310"/>
    </row>
    <row r="1734" spans="13:28" s="308" customFormat="1" x14ac:dyDescent="0.2">
      <c r="M1734" s="309"/>
      <c r="AB1734" s="310"/>
    </row>
    <row r="1735" spans="13:28" s="308" customFormat="1" x14ac:dyDescent="0.2">
      <c r="M1735" s="309"/>
      <c r="AB1735" s="310"/>
    </row>
    <row r="1736" spans="13:28" s="308" customFormat="1" x14ac:dyDescent="0.2">
      <c r="M1736" s="309"/>
      <c r="AB1736" s="310"/>
    </row>
    <row r="1737" spans="13:28" s="308" customFormat="1" x14ac:dyDescent="0.2">
      <c r="M1737" s="309"/>
      <c r="AB1737" s="310"/>
    </row>
    <row r="1738" spans="13:28" s="308" customFormat="1" x14ac:dyDescent="0.2">
      <c r="M1738" s="309"/>
      <c r="AB1738" s="310"/>
    </row>
    <row r="1739" spans="13:28" s="308" customFormat="1" x14ac:dyDescent="0.2">
      <c r="M1739" s="309"/>
      <c r="AB1739" s="310"/>
    </row>
    <row r="1740" spans="13:28" s="308" customFormat="1" x14ac:dyDescent="0.2">
      <c r="M1740" s="309"/>
      <c r="AB1740" s="310"/>
    </row>
    <row r="1741" spans="13:28" s="308" customFormat="1" x14ac:dyDescent="0.2">
      <c r="M1741" s="309"/>
      <c r="AB1741" s="310"/>
    </row>
    <row r="1742" spans="13:28" s="308" customFormat="1" x14ac:dyDescent="0.2">
      <c r="M1742" s="309"/>
      <c r="AB1742" s="310"/>
    </row>
    <row r="1743" spans="13:28" s="308" customFormat="1" x14ac:dyDescent="0.2">
      <c r="M1743" s="309"/>
      <c r="AB1743" s="310"/>
    </row>
    <row r="1744" spans="13:28" s="308" customFormat="1" x14ac:dyDescent="0.2">
      <c r="M1744" s="309"/>
      <c r="AB1744" s="310"/>
    </row>
    <row r="1745" spans="13:28" s="308" customFormat="1" x14ac:dyDescent="0.2">
      <c r="M1745" s="309"/>
      <c r="AB1745" s="310"/>
    </row>
    <row r="1746" spans="13:28" s="308" customFormat="1" x14ac:dyDescent="0.2">
      <c r="M1746" s="309"/>
      <c r="AB1746" s="310"/>
    </row>
    <row r="1747" spans="13:28" s="308" customFormat="1" x14ac:dyDescent="0.2">
      <c r="M1747" s="309"/>
      <c r="AB1747" s="310"/>
    </row>
    <row r="1748" spans="13:28" s="308" customFormat="1" x14ac:dyDescent="0.2">
      <c r="M1748" s="309"/>
      <c r="AB1748" s="310"/>
    </row>
    <row r="1749" spans="13:28" s="308" customFormat="1" x14ac:dyDescent="0.2">
      <c r="M1749" s="309"/>
      <c r="AB1749" s="310"/>
    </row>
    <row r="1750" spans="13:28" s="308" customFormat="1" x14ac:dyDescent="0.2">
      <c r="M1750" s="309"/>
      <c r="AB1750" s="310"/>
    </row>
    <row r="1751" spans="13:28" s="308" customFormat="1" x14ac:dyDescent="0.2">
      <c r="M1751" s="309"/>
      <c r="AB1751" s="310"/>
    </row>
    <row r="1752" spans="13:28" s="308" customFormat="1" x14ac:dyDescent="0.2">
      <c r="M1752" s="309"/>
      <c r="AB1752" s="310"/>
    </row>
    <row r="1753" spans="13:28" s="308" customFormat="1" x14ac:dyDescent="0.2">
      <c r="M1753" s="309"/>
      <c r="AB1753" s="310"/>
    </row>
    <row r="1754" spans="13:28" s="308" customFormat="1" x14ac:dyDescent="0.2">
      <c r="M1754" s="309"/>
      <c r="AB1754" s="310"/>
    </row>
    <row r="1755" spans="13:28" s="308" customFormat="1" x14ac:dyDescent="0.2">
      <c r="M1755" s="309"/>
      <c r="AB1755" s="310"/>
    </row>
    <row r="1756" spans="13:28" s="308" customFormat="1" x14ac:dyDescent="0.2">
      <c r="M1756" s="309"/>
      <c r="AB1756" s="310"/>
    </row>
    <row r="1757" spans="13:28" s="308" customFormat="1" x14ac:dyDescent="0.2">
      <c r="M1757" s="309"/>
      <c r="AB1757" s="310"/>
    </row>
    <row r="1758" spans="13:28" s="308" customFormat="1" x14ac:dyDescent="0.2">
      <c r="M1758" s="309"/>
      <c r="AB1758" s="310"/>
    </row>
    <row r="1759" spans="13:28" s="308" customFormat="1" x14ac:dyDescent="0.2">
      <c r="M1759" s="309"/>
      <c r="AB1759" s="310"/>
    </row>
    <row r="1760" spans="13:28" s="308" customFormat="1" x14ac:dyDescent="0.2">
      <c r="M1760" s="309"/>
      <c r="AB1760" s="310"/>
    </row>
    <row r="1761" spans="13:28" s="308" customFormat="1" x14ac:dyDescent="0.2">
      <c r="M1761" s="309"/>
      <c r="AB1761" s="310"/>
    </row>
    <row r="1762" spans="13:28" s="308" customFormat="1" x14ac:dyDescent="0.2">
      <c r="M1762" s="309"/>
      <c r="AB1762" s="310"/>
    </row>
    <row r="1763" spans="13:28" s="308" customFormat="1" x14ac:dyDescent="0.2">
      <c r="M1763" s="309"/>
      <c r="AB1763" s="310"/>
    </row>
    <row r="1764" spans="13:28" s="308" customFormat="1" x14ac:dyDescent="0.2">
      <c r="M1764" s="309"/>
      <c r="AB1764" s="310"/>
    </row>
    <row r="1765" spans="13:28" s="308" customFormat="1" x14ac:dyDescent="0.2">
      <c r="M1765" s="309"/>
      <c r="AB1765" s="310"/>
    </row>
    <row r="1766" spans="13:28" s="308" customFormat="1" x14ac:dyDescent="0.2">
      <c r="M1766" s="309"/>
      <c r="AB1766" s="310"/>
    </row>
    <row r="1767" spans="13:28" s="308" customFormat="1" x14ac:dyDescent="0.2">
      <c r="M1767" s="309"/>
      <c r="AB1767" s="310"/>
    </row>
    <row r="1768" spans="13:28" s="308" customFormat="1" x14ac:dyDescent="0.2">
      <c r="M1768" s="309"/>
      <c r="AB1768" s="310"/>
    </row>
    <row r="1769" spans="13:28" s="308" customFormat="1" x14ac:dyDescent="0.2">
      <c r="M1769" s="309"/>
      <c r="AB1769" s="310"/>
    </row>
    <row r="1770" spans="13:28" s="308" customFormat="1" x14ac:dyDescent="0.2">
      <c r="M1770" s="309"/>
      <c r="AB1770" s="310"/>
    </row>
    <row r="1771" spans="13:28" s="308" customFormat="1" x14ac:dyDescent="0.2">
      <c r="M1771" s="309"/>
      <c r="AB1771" s="310"/>
    </row>
    <row r="1772" spans="13:28" s="308" customFormat="1" x14ac:dyDescent="0.2">
      <c r="M1772" s="309"/>
      <c r="AB1772" s="310"/>
    </row>
    <row r="1773" spans="13:28" s="308" customFormat="1" x14ac:dyDescent="0.2">
      <c r="M1773" s="309"/>
      <c r="AB1773" s="310"/>
    </row>
    <row r="1774" spans="13:28" s="308" customFormat="1" x14ac:dyDescent="0.2">
      <c r="M1774" s="309"/>
      <c r="AB1774" s="310"/>
    </row>
    <row r="1775" spans="13:28" s="308" customFormat="1" x14ac:dyDescent="0.2">
      <c r="M1775" s="309"/>
      <c r="AB1775" s="310"/>
    </row>
    <row r="1776" spans="13:28" s="308" customFormat="1" x14ac:dyDescent="0.2">
      <c r="M1776" s="309"/>
      <c r="AB1776" s="310"/>
    </row>
    <row r="1777" spans="13:28" s="308" customFormat="1" x14ac:dyDescent="0.2">
      <c r="M1777" s="309"/>
      <c r="AB1777" s="310"/>
    </row>
    <row r="1778" spans="13:28" s="308" customFormat="1" x14ac:dyDescent="0.2">
      <c r="M1778" s="309"/>
      <c r="AB1778" s="310"/>
    </row>
    <row r="1779" spans="13:28" s="308" customFormat="1" x14ac:dyDescent="0.2">
      <c r="M1779" s="309"/>
      <c r="AB1779" s="310"/>
    </row>
    <row r="1780" spans="13:28" s="308" customFormat="1" x14ac:dyDescent="0.2">
      <c r="M1780" s="309"/>
      <c r="AB1780" s="310"/>
    </row>
    <row r="1781" spans="13:28" s="308" customFormat="1" x14ac:dyDescent="0.2">
      <c r="M1781" s="309"/>
      <c r="AB1781" s="310"/>
    </row>
    <row r="1782" spans="13:28" s="308" customFormat="1" x14ac:dyDescent="0.2">
      <c r="M1782" s="309"/>
      <c r="AB1782" s="310"/>
    </row>
    <row r="1783" spans="13:28" s="308" customFormat="1" x14ac:dyDescent="0.2">
      <c r="M1783" s="309"/>
      <c r="AB1783" s="310"/>
    </row>
    <row r="1784" spans="13:28" s="308" customFormat="1" x14ac:dyDescent="0.2">
      <c r="M1784" s="309"/>
      <c r="AB1784" s="310"/>
    </row>
    <row r="1785" spans="13:28" s="308" customFormat="1" x14ac:dyDescent="0.2">
      <c r="M1785" s="309"/>
      <c r="AB1785" s="310"/>
    </row>
    <row r="1786" spans="13:28" s="308" customFormat="1" x14ac:dyDescent="0.2">
      <c r="M1786" s="309"/>
      <c r="AB1786" s="310"/>
    </row>
    <row r="1787" spans="13:28" s="308" customFormat="1" x14ac:dyDescent="0.2">
      <c r="M1787" s="309"/>
      <c r="AB1787" s="310"/>
    </row>
    <row r="1788" spans="13:28" s="308" customFormat="1" x14ac:dyDescent="0.2">
      <c r="M1788" s="309"/>
      <c r="AB1788" s="310"/>
    </row>
    <row r="1789" spans="13:28" s="308" customFormat="1" x14ac:dyDescent="0.2">
      <c r="M1789" s="309"/>
      <c r="AB1789" s="310"/>
    </row>
    <row r="1790" spans="13:28" s="308" customFormat="1" x14ac:dyDescent="0.2">
      <c r="M1790" s="309"/>
      <c r="AB1790" s="310"/>
    </row>
    <row r="1791" spans="13:28" s="308" customFormat="1" x14ac:dyDescent="0.2">
      <c r="M1791" s="309"/>
      <c r="AB1791" s="310"/>
    </row>
    <row r="1792" spans="13:28" s="308" customFormat="1" x14ac:dyDescent="0.2">
      <c r="M1792" s="309"/>
      <c r="AB1792" s="310"/>
    </row>
    <row r="1793" spans="13:28" s="308" customFormat="1" x14ac:dyDescent="0.2">
      <c r="M1793" s="309"/>
      <c r="AB1793" s="310"/>
    </row>
    <row r="1794" spans="13:28" s="308" customFormat="1" x14ac:dyDescent="0.2">
      <c r="M1794" s="309"/>
      <c r="AB1794" s="310"/>
    </row>
    <row r="1795" spans="13:28" s="308" customFormat="1" x14ac:dyDescent="0.2">
      <c r="M1795" s="309"/>
      <c r="AB1795" s="310"/>
    </row>
    <row r="1796" spans="13:28" s="308" customFormat="1" x14ac:dyDescent="0.2">
      <c r="M1796" s="309"/>
      <c r="AB1796" s="310"/>
    </row>
    <row r="1797" spans="13:28" s="308" customFormat="1" x14ac:dyDescent="0.2">
      <c r="M1797" s="309"/>
      <c r="AB1797" s="310"/>
    </row>
    <row r="1798" spans="13:28" s="308" customFormat="1" x14ac:dyDescent="0.2">
      <c r="M1798" s="309"/>
      <c r="AB1798" s="310"/>
    </row>
    <row r="1799" spans="13:28" s="308" customFormat="1" x14ac:dyDescent="0.2">
      <c r="M1799" s="309"/>
      <c r="AB1799" s="310"/>
    </row>
    <row r="1800" spans="13:28" s="308" customFormat="1" x14ac:dyDescent="0.2">
      <c r="M1800" s="309"/>
      <c r="AB1800" s="310"/>
    </row>
    <row r="1801" spans="13:28" s="308" customFormat="1" x14ac:dyDescent="0.2">
      <c r="M1801" s="309"/>
      <c r="AB1801" s="310"/>
    </row>
    <row r="1802" spans="13:28" s="308" customFormat="1" x14ac:dyDescent="0.2">
      <c r="M1802" s="309"/>
      <c r="AB1802" s="310"/>
    </row>
    <row r="1803" spans="13:28" s="308" customFormat="1" x14ac:dyDescent="0.2">
      <c r="M1803" s="309"/>
      <c r="AB1803" s="310"/>
    </row>
    <row r="1804" spans="13:28" s="308" customFormat="1" x14ac:dyDescent="0.2">
      <c r="M1804" s="309"/>
      <c r="AB1804" s="310"/>
    </row>
    <row r="1805" spans="13:28" s="308" customFormat="1" x14ac:dyDescent="0.2">
      <c r="M1805" s="309"/>
      <c r="AB1805" s="310"/>
    </row>
    <row r="1806" spans="13:28" s="308" customFormat="1" x14ac:dyDescent="0.2">
      <c r="M1806" s="309"/>
      <c r="AB1806" s="310"/>
    </row>
    <row r="1807" spans="13:28" s="308" customFormat="1" x14ac:dyDescent="0.2">
      <c r="M1807" s="309"/>
      <c r="AB1807" s="310"/>
    </row>
    <row r="1808" spans="13:28" s="308" customFormat="1" x14ac:dyDescent="0.2">
      <c r="M1808" s="309"/>
      <c r="AB1808" s="310"/>
    </row>
    <row r="1809" spans="13:28" s="308" customFormat="1" x14ac:dyDescent="0.2">
      <c r="M1809" s="309"/>
      <c r="AB1809" s="310"/>
    </row>
    <row r="1810" spans="13:28" s="308" customFormat="1" x14ac:dyDescent="0.2">
      <c r="M1810" s="309"/>
      <c r="AB1810" s="310"/>
    </row>
    <row r="1811" spans="13:28" s="308" customFormat="1" x14ac:dyDescent="0.2">
      <c r="M1811" s="309"/>
      <c r="AB1811" s="310"/>
    </row>
    <row r="1812" spans="13:28" s="308" customFormat="1" x14ac:dyDescent="0.2">
      <c r="M1812" s="309"/>
      <c r="AB1812" s="310"/>
    </row>
    <row r="1813" spans="13:28" s="308" customFormat="1" x14ac:dyDescent="0.2">
      <c r="M1813" s="309"/>
      <c r="AB1813" s="310"/>
    </row>
    <row r="1814" spans="13:28" s="308" customFormat="1" x14ac:dyDescent="0.2">
      <c r="M1814" s="309"/>
      <c r="AB1814" s="310"/>
    </row>
    <row r="1815" spans="13:28" s="308" customFormat="1" x14ac:dyDescent="0.2">
      <c r="M1815" s="309"/>
      <c r="AB1815" s="310"/>
    </row>
    <row r="1816" spans="13:28" s="308" customFormat="1" x14ac:dyDescent="0.2">
      <c r="M1816" s="309"/>
      <c r="AB1816" s="310"/>
    </row>
    <row r="1817" spans="13:28" s="308" customFormat="1" x14ac:dyDescent="0.2">
      <c r="M1817" s="309"/>
      <c r="AB1817" s="310"/>
    </row>
    <row r="1818" spans="13:28" s="308" customFormat="1" x14ac:dyDescent="0.2">
      <c r="M1818" s="309"/>
      <c r="AB1818" s="310"/>
    </row>
    <row r="1819" spans="13:28" s="308" customFormat="1" x14ac:dyDescent="0.2">
      <c r="M1819" s="309"/>
      <c r="AB1819" s="310"/>
    </row>
    <row r="1820" spans="13:28" s="308" customFormat="1" x14ac:dyDescent="0.2">
      <c r="M1820" s="309"/>
      <c r="AB1820" s="310"/>
    </row>
    <row r="1821" spans="13:28" s="308" customFormat="1" x14ac:dyDescent="0.2">
      <c r="M1821" s="309"/>
      <c r="AB1821" s="310"/>
    </row>
    <row r="1822" spans="13:28" s="308" customFormat="1" x14ac:dyDescent="0.2">
      <c r="M1822" s="309"/>
      <c r="AB1822" s="310"/>
    </row>
    <row r="1823" spans="13:28" s="308" customFormat="1" x14ac:dyDescent="0.2">
      <c r="M1823" s="309"/>
      <c r="AB1823" s="310"/>
    </row>
    <row r="1824" spans="13:28" s="308" customFormat="1" x14ac:dyDescent="0.2">
      <c r="M1824" s="309"/>
      <c r="AB1824" s="310"/>
    </row>
    <row r="1825" spans="13:28" s="308" customFormat="1" x14ac:dyDescent="0.2">
      <c r="M1825" s="309"/>
      <c r="AB1825" s="310"/>
    </row>
    <row r="1826" spans="13:28" s="308" customFormat="1" x14ac:dyDescent="0.2">
      <c r="M1826" s="309"/>
      <c r="AB1826" s="310"/>
    </row>
    <row r="1827" spans="13:28" s="308" customFormat="1" x14ac:dyDescent="0.2">
      <c r="M1827" s="309"/>
      <c r="AB1827" s="310"/>
    </row>
    <row r="1828" spans="13:28" s="308" customFormat="1" x14ac:dyDescent="0.2">
      <c r="M1828" s="309"/>
      <c r="AB1828" s="310"/>
    </row>
    <row r="1829" spans="13:28" s="308" customFormat="1" x14ac:dyDescent="0.2">
      <c r="M1829" s="309"/>
      <c r="AB1829" s="310"/>
    </row>
    <row r="1830" spans="13:28" s="308" customFormat="1" x14ac:dyDescent="0.2">
      <c r="M1830" s="309"/>
      <c r="AB1830" s="310"/>
    </row>
    <row r="1831" spans="13:28" s="308" customFormat="1" x14ac:dyDescent="0.2">
      <c r="M1831" s="309"/>
      <c r="AB1831" s="310"/>
    </row>
    <row r="1832" spans="13:28" s="308" customFormat="1" x14ac:dyDescent="0.2">
      <c r="M1832" s="309"/>
      <c r="AB1832" s="310"/>
    </row>
    <row r="1833" spans="13:28" s="308" customFormat="1" x14ac:dyDescent="0.2">
      <c r="M1833" s="309"/>
      <c r="AB1833" s="310"/>
    </row>
    <row r="1834" spans="13:28" s="308" customFormat="1" x14ac:dyDescent="0.2">
      <c r="M1834" s="309"/>
      <c r="AB1834" s="310"/>
    </row>
    <row r="1835" spans="13:28" s="308" customFormat="1" x14ac:dyDescent="0.2">
      <c r="M1835" s="309"/>
      <c r="AB1835" s="310"/>
    </row>
    <row r="1836" spans="13:28" s="308" customFormat="1" x14ac:dyDescent="0.2">
      <c r="M1836" s="309"/>
      <c r="AB1836" s="310"/>
    </row>
    <row r="1837" spans="13:28" s="308" customFormat="1" x14ac:dyDescent="0.2">
      <c r="M1837" s="309"/>
      <c r="AB1837" s="310"/>
    </row>
    <row r="1838" spans="13:28" s="308" customFormat="1" x14ac:dyDescent="0.2">
      <c r="M1838" s="309"/>
      <c r="AB1838" s="310"/>
    </row>
    <row r="1839" spans="13:28" s="308" customFormat="1" x14ac:dyDescent="0.2">
      <c r="M1839" s="309"/>
      <c r="AB1839" s="310"/>
    </row>
    <row r="1840" spans="13:28" s="308" customFormat="1" x14ac:dyDescent="0.2">
      <c r="M1840" s="309"/>
      <c r="AB1840" s="310"/>
    </row>
    <row r="1841" spans="13:28" s="308" customFormat="1" x14ac:dyDescent="0.2">
      <c r="M1841" s="309"/>
      <c r="AB1841" s="310"/>
    </row>
    <row r="1842" spans="13:28" s="308" customFormat="1" x14ac:dyDescent="0.2">
      <c r="M1842" s="309"/>
      <c r="AB1842" s="310"/>
    </row>
    <row r="1843" spans="13:28" s="308" customFormat="1" x14ac:dyDescent="0.2">
      <c r="M1843" s="309"/>
      <c r="AB1843" s="310"/>
    </row>
    <row r="1844" spans="13:28" s="308" customFormat="1" x14ac:dyDescent="0.2">
      <c r="M1844" s="309"/>
      <c r="AB1844" s="310"/>
    </row>
    <row r="1845" spans="13:28" s="308" customFormat="1" x14ac:dyDescent="0.2">
      <c r="M1845" s="309"/>
      <c r="AB1845" s="310"/>
    </row>
    <row r="1846" spans="13:28" s="308" customFormat="1" x14ac:dyDescent="0.2">
      <c r="M1846" s="309"/>
      <c r="AB1846" s="310"/>
    </row>
    <row r="1847" spans="13:28" s="308" customFormat="1" x14ac:dyDescent="0.2">
      <c r="M1847" s="309"/>
      <c r="AB1847" s="310"/>
    </row>
    <row r="1848" spans="13:28" s="308" customFormat="1" x14ac:dyDescent="0.2">
      <c r="M1848" s="309"/>
      <c r="AB1848" s="310"/>
    </row>
    <row r="1849" spans="13:28" s="308" customFormat="1" x14ac:dyDescent="0.2">
      <c r="M1849" s="309"/>
      <c r="AB1849" s="310"/>
    </row>
    <row r="1850" spans="13:28" s="308" customFormat="1" x14ac:dyDescent="0.2">
      <c r="M1850" s="309"/>
      <c r="AB1850" s="310"/>
    </row>
    <row r="1851" spans="13:28" s="308" customFormat="1" x14ac:dyDescent="0.2">
      <c r="M1851" s="309"/>
      <c r="AB1851" s="310"/>
    </row>
    <row r="1852" spans="13:28" s="308" customFormat="1" x14ac:dyDescent="0.2">
      <c r="M1852" s="309"/>
      <c r="AB1852" s="310"/>
    </row>
    <row r="1853" spans="13:28" s="308" customFormat="1" x14ac:dyDescent="0.2">
      <c r="M1853" s="309"/>
      <c r="AB1853" s="310"/>
    </row>
    <row r="1854" spans="13:28" s="308" customFormat="1" x14ac:dyDescent="0.2">
      <c r="M1854" s="309"/>
      <c r="AB1854" s="310"/>
    </row>
    <row r="1855" spans="13:28" s="308" customFormat="1" x14ac:dyDescent="0.2">
      <c r="M1855" s="309"/>
      <c r="AB1855" s="310"/>
    </row>
    <row r="1856" spans="13:28" s="308" customFormat="1" x14ac:dyDescent="0.2">
      <c r="M1856" s="309"/>
      <c r="AB1856" s="310"/>
    </row>
    <row r="1857" spans="13:28" s="308" customFormat="1" x14ac:dyDescent="0.2">
      <c r="M1857" s="309"/>
      <c r="AB1857" s="310"/>
    </row>
    <row r="1858" spans="13:28" s="308" customFormat="1" x14ac:dyDescent="0.2">
      <c r="M1858" s="309"/>
      <c r="AB1858" s="310"/>
    </row>
    <row r="1859" spans="13:28" s="308" customFormat="1" x14ac:dyDescent="0.2">
      <c r="M1859" s="309"/>
      <c r="AB1859" s="310"/>
    </row>
    <row r="1860" spans="13:28" s="308" customFormat="1" x14ac:dyDescent="0.2">
      <c r="M1860" s="309"/>
      <c r="AB1860" s="310"/>
    </row>
    <row r="1861" spans="13:28" s="308" customFormat="1" x14ac:dyDescent="0.2">
      <c r="M1861" s="309"/>
      <c r="AB1861" s="310"/>
    </row>
    <row r="1862" spans="13:28" s="308" customFormat="1" x14ac:dyDescent="0.2">
      <c r="M1862" s="309"/>
      <c r="AB1862" s="310"/>
    </row>
    <row r="1863" spans="13:28" s="308" customFormat="1" x14ac:dyDescent="0.2">
      <c r="M1863" s="309"/>
      <c r="AB1863" s="310"/>
    </row>
    <row r="1864" spans="13:28" s="308" customFormat="1" x14ac:dyDescent="0.2">
      <c r="M1864" s="309"/>
      <c r="AB1864" s="310"/>
    </row>
    <row r="1865" spans="13:28" s="308" customFormat="1" x14ac:dyDescent="0.2">
      <c r="M1865" s="309"/>
      <c r="AB1865" s="310"/>
    </row>
    <row r="1866" spans="13:28" s="308" customFormat="1" x14ac:dyDescent="0.2">
      <c r="M1866" s="309"/>
      <c r="AB1866" s="310"/>
    </row>
    <row r="1867" spans="13:28" s="308" customFormat="1" x14ac:dyDescent="0.2">
      <c r="M1867" s="309"/>
      <c r="AB1867" s="310"/>
    </row>
    <row r="1868" spans="13:28" s="308" customFormat="1" x14ac:dyDescent="0.2">
      <c r="M1868" s="309"/>
      <c r="AB1868" s="310"/>
    </row>
    <row r="1869" spans="13:28" s="308" customFormat="1" x14ac:dyDescent="0.2">
      <c r="M1869" s="309"/>
      <c r="AB1869" s="310"/>
    </row>
    <row r="1870" spans="13:28" s="308" customFormat="1" x14ac:dyDescent="0.2">
      <c r="M1870" s="309"/>
      <c r="AB1870" s="310"/>
    </row>
    <row r="1871" spans="13:28" s="308" customFormat="1" x14ac:dyDescent="0.2">
      <c r="M1871" s="309"/>
      <c r="AB1871" s="310"/>
    </row>
    <row r="1872" spans="13:28" s="308" customFormat="1" x14ac:dyDescent="0.2">
      <c r="M1872" s="309"/>
      <c r="AB1872" s="310"/>
    </row>
    <row r="1873" spans="13:28" s="308" customFormat="1" x14ac:dyDescent="0.2">
      <c r="M1873" s="309"/>
      <c r="AB1873" s="310"/>
    </row>
    <row r="1874" spans="13:28" s="308" customFormat="1" x14ac:dyDescent="0.2">
      <c r="M1874" s="309"/>
      <c r="AB1874" s="310"/>
    </row>
    <row r="1875" spans="13:28" s="308" customFormat="1" x14ac:dyDescent="0.2">
      <c r="M1875" s="309"/>
      <c r="AB1875" s="310"/>
    </row>
    <row r="1876" spans="13:28" s="308" customFormat="1" x14ac:dyDescent="0.2">
      <c r="M1876" s="309"/>
      <c r="AB1876" s="310"/>
    </row>
    <row r="1877" spans="13:28" s="308" customFormat="1" x14ac:dyDescent="0.2">
      <c r="M1877" s="309"/>
      <c r="AB1877" s="310"/>
    </row>
    <row r="1878" spans="13:28" s="308" customFormat="1" x14ac:dyDescent="0.2">
      <c r="M1878" s="309"/>
      <c r="AB1878" s="310"/>
    </row>
    <row r="1879" spans="13:28" s="308" customFormat="1" x14ac:dyDescent="0.2">
      <c r="M1879" s="309"/>
      <c r="AB1879" s="310"/>
    </row>
    <row r="1880" spans="13:28" s="308" customFormat="1" x14ac:dyDescent="0.2">
      <c r="M1880" s="309"/>
      <c r="AB1880" s="310"/>
    </row>
    <row r="1881" spans="13:28" s="308" customFormat="1" x14ac:dyDescent="0.2">
      <c r="M1881" s="309"/>
      <c r="AB1881" s="310"/>
    </row>
    <row r="1882" spans="13:28" s="308" customFormat="1" x14ac:dyDescent="0.2">
      <c r="M1882" s="309"/>
      <c r="AB1882" s="310"/>
    </row>
    <row r="1883" spans="13:28" s="308" customFormat="1" x14ac:dyDescent="0.2">
      <c r="M1883" s="309"/>
      <c r="AB1883" s="310"/>
    </row>
    <row r="1884" spans="13:28" s="308" customFormat="1" x14ac:dyDescent="0.2">
      <c r="M1884" s="309"/>
      <c r="AB1884" s="310"/>
    </row>
    <row r="1885" spans="13:28" s="308" customFormat="1" x14ac:dyDescent="0.2">
      <c r="M1885" s="309"/>
      <c r="AB1885" s="310"/>
    </row>
    <row r="1886" spans="13:28" s="308" customFormat="1" x14ac:dyDescent="0.2">
      <c r="M1886" s="309"/>
      <c r="AB1886" s="310"/>
    </row>
    <row r="1887" spans="13:28" s="308" customFormat="1" x14ac:dyDescent="0.2">
      <c r="M1887" s="309"/>
      <c r="AB1887" s="310"/>
    </row>
    <row r="1888" spans="13:28" s="308" customFormat="1" x14ac:dyDescent="0.2">
      <c r="M1888" s="309"/>
      <c r="AB1888" s="310"/>
    </row>
    <row r="1889" spans="13:28" s="308" customFormat="1" x14ac:dyDescent="0.2">
      <c r="M1889" s="309"/>
      <c r="AB1889" s="310"/>
    </row>
    <row r="1890" spans="13:28" s="308" customFormat="1" x14ac:dyDescent="0.2">
      <c r="M1890" s="309"/>
      <c r="AB1890" s="310"/>
    </row>
    <row r="1891" spans="13:28" s="308" customFormat="1" x14ac:dyDescent="0.2">
      <c r="M1891" s="309"/>
      <c r="AB1891" s="310"/>
    </row>
    <row r="1892" spans="13:28" s="308" customFormat="1" x14ac:dyDescent="0.2">
      <c r="M1892" s="309"/>
      <c r="AB1892" s="310"/>
    </row>
    <row r="1893" spans="13:28" s="308" customFormat="1" x14ac:dyDescent="0.2">
      <c r="M1893" s="309"/>
      <c r="AB1893" s="310"/>
    </row>
    <row r="1894" spans="13:28" s="308" customFormat="1" x14ac:dyDescent="0.2">
      <c r="M1894" s="309"/>
      <c r="AB1894" s="310"/>
    </row>
    <row r="1895" spans="13:28" s="308" customFormat="1" x14ac:dyDescent="0.2">
      <c r="M1895" s="309"/>
      <c r="AB1895" s="310"/>
    </row>
    <row r="1896" spans="13:28" s="308" customFormat="1" x14ac:dyDescent="0.2">
      <c r="M1896" s="309"/>
      <c r="AB1896" s="310"/>
    </row>
    <row r="1897" spans="13:28" s="308" customFormat="1" x14ac:dyDescent="0.2">
      <c r="M1897" s="309"/>
      <c r="AB1897" s="310"/>
    </row>
    <row r="1898" spans="13:28" s="308" customFormat="1" x14ac:dyDescent="0.2">
      <c r="M1898" s="309"/>
      <c r="AB1898" s="310"/>
    </row>
    <row r="1899" spans="13:28" s="308" customFormat="1" x14ac:dyDescent="0.2">
      <c r="M1899" s="309"/>
      <c r="AB1899" s="310"/>
    </row>
    <row r="1900" spans="13:28" s="308" customFormat="1" x14ac:dyDescent="0.2">
      <c r="M1900" s="309"/>
      <c r="AB1900" s="310"/>
    </row>
    <row r="1901" spans="13:28" s="308" customFormat="1" x14ac:dyDescent="0.2">
      <c r="M1901" s="309"/>
      <c r="AB1901" s="310"/>
    </row>
    <row r="1902" spans="13:28" s="308" customFormat="1" x14ac:dyDescent="0.2">
      <c r="M1902" s="309"/>
      <c r="AB1902" s="310"/>
    </row>
    <row r="1903" spans="13:28" s="308" customFormat="1" x14ac:dyDescent="0.2">
      <c r="M1903" s="309"/>
      <c r="AB1903" s="310"/>
    </row>
    <row r="1904" spans="13:28" s="308" customFormat="1" x14ac:dyDescent="0.2">
      <c r="M1904" s="309"/>
      <c r="AB1904" s="310"/>
    </row>
    <row r="1905" spans="13:28" s="308" customFormat="1" x14ac:dyDescent="0.2">
      <c r="M1905" s="309"/>
      <c r="AB1905" s="310"/>
    </row>
    <row r="1906" spans="13:28" s="308" customFormat="1" x14ac:dyDescent="0.2">
      <c r="M1906" s="309"/>
      <c r="AB1906" s="310"/>
    </row>
    <row r="1907" spans="13:28" s="308" customFormat="1" x14ac:dyDescent="0.2">
      <c r="M1907" s="309"/>
      <c r="AB1907" s="310"/>
    </row>
    <row r="1908" spans="13:28" s="308" customFormat="1" x14ac:dyDescent="0.2">
      <c r="M1908" s="309"/>
      <c r="AB1908" s="310"/>
    </row>
    <row r="1909" spans="13:28" s="308" customFormat="1" x14ac:dyDescent="0.2">
      <c r="M1909" s="309"/>
      <c r="AB1909" s="310"/>
    </row>
    <row r="1910" spans="13:28" s="308" customFormat="1" x14ac:dyDescent="0.2">
      <c r="M1910" s="309"/>
      <c r="AB1910" s="310"/>
    </row>
    <row r="1911" spans="13:28" s="308" customFormat="1" x14ac:dyDescent="0.2">
      <c r="M1911" s="309"/>
      <c r="AB1911" s="310"/>
    </row>
    <row r="1912" spans="13:28" s="308" customFormat="1" x14ac:dyDescent="0.2">
      <c r="M1912" s="309"/>
      <c r="AB1912" s="310"/>
    </row>
    <row r="1913" spans="13:28" s="308" customFormat="1" x14ac:dyDescent="0.2">
      <c r="M1913" s="309"/>
      <c r="AB1913" s="310"/>
    </row>
    <row r="1914" spans="13:28" s="308" customFormat="1" x14ac:dyDescent="0.2">
      <c r="M1914" s="309"/>
      <c r="AB1914" s="310"/>
    </row>
    <row r="1915" spans="13:28" s="308" customFormat="1" x14ac:dyDescent="0.2">
      <c r="M1915" s="309"/>
      <c r="AB1915" s="310"/>
    </row>
    <row r="1916" spans="13:28" s="308" customFormat="1" x14ac:dyDescent="0.2">
      <c r="M1916" s="309"/>
      <c r="AB1916" s="310"/>
    </row>
    <row r="1917" spans="13:28" s="308" customFormat="1" x14ac:dyDescent="0.2">
      <c r="M1917" s="309"/>
      <c r="AB1917" s="310"/>
    </row>
    <row r="1918" spans="13:28" s="308" customFormat="1" x14ac:dyDescent="0.2">
      <c r="M1918" s="309"/>
      <c r="AB1918" s="310"/>
    </row>
    <row r="1919" spans="13:28" s="308" customFormat="1" x14ac:dyDescent="0.2">
      <c r="M1919" s="309"/>
      <c r="AB1919" s="310"/>
    </row>
    <row r="1920" spans="13:28" s="308" customFormat="1" x14ac:dyDescent="0.2">
      <c r="M1920" s="309"/>
      <c r="AB1920" s="310"/>
    </row>
    <row r="1921" spans="13:28" s="308" customFormat="1" x14ac:dyDescent="0.2">
      <c r="M1921" s="309"/>
      <c r="AB1921" s="310"/>
    </row>
    <row r="1922" spans="13:28" s="308" customFormat="1" x14ac:dyDescent="0.2">
      <c r="M1922" s="309"/>
      <c r="AB1922" s="310"/>
    </row>
    <row r="1923" spans="13:28" s="308" customFormat="1" x14ac:dyDescent="0.2">
      <c r="M1923" s="309"/>
      <c r="AB1923" s="310"/>
    </row>
    <row r="1924" spans="13:28" s="308" customFormat="1" x14ac:dyDescent="0.2">
      <c r="M1924" s="309"/>
      <c r="AB1924" s="310"/>
    </row>
    <row r="1925" spans="13:28" s="308" customFormat="1" x14ac:dyDescent="0.2">
      <c r="M1925" s="309"/>
      <c r="AB1925" s="310"/>
    </row>
    <row r="1926" spans="13:28" s="308" customFormat="1" x14ac:dyDescent="0.2">
      <c r="M1926" s="309"/>
      <c r="AB1926" s="310"/>
    </row>
    <row r="1927" spans="13:28" s="308" customFormat="1" x14ac:dyDescent="0.2">
      <c r="M1927" s="309"/>
      <c r="AB1927" s="310"/>
    </row>
    <row r="1928" spans="13:28" s="308" customFormat="1" x14ac:dyDescent="0.2">
      <c r="M1928" s="309"/>
      <c r="AB1928" s="310"/>
    </row>
    <row r="1929" spans="13:28" s="308" customFormat="1" x14ac:dyDescent="0.2">
      <c r="M1929" s="309"/>
      <c r="AB1929" s="310"/>
    </row>
    <row r="1930" spans="13:28" s="308" customFormat="1" x14ac:dyDescent="0.2">
      <c r="M1930" s="309"/>
      <c r="AB1930" s="310"/>
    </row>
    <row r="1931" spans="13:28" s="308" customFormat="1" x14ac:dyDescent="0.2">
      <c r="M1931" s="309"/>
      <c r="AB1931" s="310"/>
    </row>
    <row r="1932" spans="13:28" s="308" customFormat="1" x14ac:dyDescent="0.2">
      <c r="M1932" s="309"/>
      <c r="AB1932" s="310"/>
    </row>
    <row r="1933" spans="13:28" s="308" customFormat="1" x14ac:dyDescent="0.2">
      <c r="M1933" s="309"/>
      <c r="AB1933" s="310"/>
    </row>
    <row r="1934" spans="13:28" s="308" customFormat="1" x14ac:dyDescent="0.2">
      <c r="M1934" s="309"/>
      <c r="AB1934" s="310"/>
    </row>
    <row r="1935" spans="13:28" s="308" customFormat="1" x14ac:dyDescent="0.2">
      <c r="M1935" s="309"/>
      <c r="AB1935" s="310"/>
    </row>
    <row r="1936" spans="13:28" s="308" customFormat="1" x14ac:dyDescent="0.2">
      <c r="M1936" s="309"/>
      <c r="AB1936" s="310"/>
    </row>
    <row r="1937" spans="13:28" s="308" customFormat="1" x14ac:dyDescent="0.2">
      <c r="M1937" s="309"/>
      <c r="AB1937" s="310"/>
    </row>
    <row r="1938" spans="13:28" s="308" customFormat="1" x14ac:dyDescent="0.2">
      <c r="M1938" s="309"/>
      <c r="AB1938" s="310"/>
    </row>
    <row r="1939" spans="13:28" s="308" customFormat="1" x14ac:dyDescent="0.2">
      <c r="M1939" s="309"/>
      <c r="AB1939" s="310"/>
    </row>
    <row r="1940" spans="13:28" s="308" customFormat="1" x14ac:dyDescent="0.2">
      <c r="M1940" s="309"/>
      <c r="AB1940" s="310"/>
    </row>
    <row r="1941" spans="13:28" s="308" customFormat="1" x14ac:dyDescent="0.2">
      <c r="M1941" s="309"/>
      <c r="AB1941" s="310"/>
    </row>
    <row r="1942" spans="13:28" s="308" customFormat="1" x14ac:dyDescent="0.2">
      <c r="M1942" s="309"/>
      <c r="AB1942" s="310"/>
    </row>
    <row r="1943" spans="13:28" s="308" customFormat="1" x14ac:dyDescent="0.2">
      <c r="M1943" s="309"/>
      <c r="AB1943" s="310"/>
    </row>
    <row r="1944" spans="13:28" s="308" customFormat="1" x14ac:dyDescent="0.2">
      <c r="M1944" s="309"/>
      <c r="AB1944" s="310"/>
    </row>
    <row r="1945" spans="13:28" s="308" customFormat="1" x14ac:dyDescent="0.2">
      <c r="M1945" s="309"/>
      <c r="AB1945" s="310"/>
    </row>
    <row r="1946" spans="13:28" s="308" customFormat="1" x14ac:dyDescent="0.2">
      <c r="M1946" s="309"/>
      <c r="AB1946" s="310"/>
    </row>
    <row r="1947" spans="13:28" s="308" customFormat="1" x14ac:dyDescent="0.2">
      <c r="M1947" s="309"/>
      <c r="AB1947" s="310"/>
    </row>
    <row r="1948" spans="13:28" s="308" customFormat="1" x14ac:dyDescent="0.2">
      <c r="M1948" s="309"/>
      <c r="AB1948" s="310"/>
    </row>
    <row r="1949" spans="13:28" s="308" customFormat="1" x14ac:dyDescent="0.2">
      <c r="M1949" s="309"/>
      <c r="AB1949" s="310"/>
    </row>
    <row r="1950" spans="13:28" s="308" customFormat="1" x14ac:dyDescent="0.2">
      <c r="M1950" s="309"/>
      <c r="AB1950" s="310"/>
    </row>
    <row r="1951" spans="13:28" s="308" customFormat="1" x14ac:dyDescent="0.2">
      <c r="M1951" s="309"/>
      <c r="AB1951" s="310"/>
    </row>
    <row r="1952" spans="13:28" s="308" customFormat="1" x14ac:dyDescent="0.2">
      <c r="M1952" s="309"/>
      <c r="AB1952" s="310"/>
    </row>
    <row r="1953" spans="13:28" s="308" customFormat="1" x14ac:dyDescent="0.2">
      <c r="M1953" s="309"/>
      <c r="AB1953" s="310"/>
    </row>
    <row r="1954" spans="13:28" s="308" customFormat="1" x14ac:dyDescent="0.2">
      <c r="M1954" s="309"/>
      <c r="AB1954" s="310"/>
    </row>
    <row r="1955" spans="13:28" s="308" customFormat="1" x14ac:dyDescent="0.2">
      <c r="M1955" s="309"/>
      <c r="AB1955" s="310"/>
    </row>
    <row r="1956" spans="13:28" s="308" customFormat="1" x14ac:dyDescent="0.2">
      <c r="M1956" s="309"/>
      <c r="AB1956" s="310"/>
    </row>
    <row r="1957" spans="13:28" s="308" customFormat="1" x14ac:dyDescent="0.2">
      <c r="M1957" s="309"/>
      <c r="AB1957" s="310"/>
    </row>
    <row r="1958" spans="13:28" s="308" customFormat="1" x14ac:dyDescent="0.2">
      <c r="M1958" s="309"/>
      <c r="AB1958" s="310"/>
    </row>
    <row r="1959" spans="13:28" s="308" customFormat="1" x14ac:dyDescent="0.2">
      <c r="M1959" s="309"/>
      <c r="AB1959" s="310"/>
    </row>
    <row r="1960" spans="13:28" s="308" customFormat="1" x14ac:dyDescent="0.2">
      <c r="M1960" s="309"/>
      <c r="AB1960" s="310"/>
    </row>
    <row r="1961" spans="13:28" s="308" customFormat="1" x14ac:dyDescent="0.2">
      <c r="M1961" s="309"/>
      <c r="AB1961" s="310"/>
    </row>
    <row r="1962" spans="13:28" s="308" customFormat="1" x14ac:dyDescent="0.2">
      <c r="M1962" s="309"/>
      <c r="AB1962" s="310"/>
    </row>
    <row r="1963" spans="13:28" s="308" customFormat="1" x14ac:dyDescent="0.2">
      <c r="M1963" s="309"/>
      <c r="AB1963" s="310"/>
    </row>
    <row r="1964" spans="13:28" s="308" customFormat="1" x14ac:dyDescent="0.2">
      <c r="M1964" s="309"/>
      <c r="AB1964" s="310"/>
    </row>
    <row r="1965" spans="13:28" s="308" customFormat="1" x14ac:dyDescent="0.2">
      <c r="M1965" s="309"/>
      <c r="AB1965" s="310"/>
    </row>
    <row r="1966" spans="13:28" s="308" customFormat="1" x14ac:dyDescent="0.2">
      <c r="M1966" s="309"/>
      <c r="AB1966" s="310"/>
    </row>
    <row r="1967" spans="13:28" s="308" customFormat="1" x14ac:dyDescent="0.2">
      <c r="M1967" s="309"/>
      <c r="AB1967" s="310"/>
    </row>
    <row r="1968" spans="13:28" s="308" customFormat="1" x14ac:dyDescent="0.2">
      <c r="M1968" s="309"/>
      <c r="AB1968" s="310"/>
    </row>
    <row r="1969" spans="13:28" s="308" customFormat="1" x14ac:dyDescent="0.2">
      <c r="M1969" s="309"/>
      <c r="AB1969" s="310"/>
    </row>
    <row r="1970" spans="13:28" s="308" customFormat="1" x14ac:dyDescent="0.2">
      <c r="M1970" s="309"/>
      <c r="AB1970" s="310"/>
    </row>
    <row r="1971" spans="13:28" s="308" customFormat="1" x14ac:dyDescent="0.2">
      <c r="M1971" s="309"/>
      <c r="AB1971" s="310"/>
    </row>
    <row r="1972" spans="13:28" s="308" customFormat="1" x14ac:dyDescent="0.2">
      <c r="M1972" s="309"/>
      <c r="AB1972" s="310"/>
    </row>
    <row r="1973" spans="13:28" s="308" customFormat="1" x14ac:dyDescent="0.2">
      <c r="M1973" s="309"/>
      <c r="AB1973" s="310"/>
    </row>
    <row r="1974" spans="13:28" s="308" customFormat="1" x14ac:dyDescent="0.2">
      <c r="M1974" s="309"/>
      <c r="AB1974" s="310"/>
    </row>
    <row r="1975" spans="13:28" s="308" customFormat="1" x14ac:dyDescent="0.2">
      <c r="M1975" s="309"/>
      <c r="AB1975" s="310"/>
    </row>
    <row r="1976" spans="13:28" s="308" customFormat="1" x14ac:dyDescent="0.2">
      <c r="M1976" s="309"/>
      <c r="AB1976" s="310"/>
    </row>
    <row r="1977" spans="13:28" s="308" customFormat="1" x14ac:dyDescent="0.2">
      <c r="M1977" s="309"/>
      <c r="AB1977" s="310"/>
    </row>
    <row r="1978" spans="13:28" s="308" customFormat="1" x14ac:dyDescent="0.2">
      <c r="M1978" s="309"/>
      <c r="AB1978" s="310"/>
    </row>
    <row r="1979" spans="13:28" s="308" customFormat="1" x14ac:dyDescent="0.2">
      <c r="M1979" s="309"/>
      <c r="AB1979" s="310"/>
    </row>
    <row r="1980" spans="13:28" s="308" customFormat="1" x14ac:dyDescent="0.2">
      <c r="M1980" s="309"/>
      <c r="AB1980" s="310"/>
    </row>
    <row r="1981" spans="13:28" s="308" customFormat="1" x14ac:dyDescent="0.2">
      <c r="M1981" s="309"/>
      <c r="AB1981" s="310"/>
    </row>
    <row r="1982" spans="13:28" s="308" customFormat="1" x14ac:dyDescent="0.2">
      <c r="M1982" s="309"/>
      <c r="AB1982" s="310"/>
    </row>
    <row r="1983" spans="13:28" s="308" customFormat="1" x14ac:dyDescent="0.2">
      <c r="M1983" s="309"/>
      <c r="AB1983" s="310"/>
    </row>
    <row r="1984" spans="13:28" s="308" customFormat="1" x14ac:dyDescent="0.2">
      <c r="M1984" s="309"/>
      <c r="AB1984" s="310"/>
    </row>
    <row r="1985" spans="13:28" s="308" customFormat="1" x14ac:dyDescent="0.2">
      <c r="M1985" s="309"/>
      <c r="AB1985" s="310"/>
    </row>
    <row r="1986" spans="13:28" s="308" customFormat="1" x14ac:dyDescent="0.2">
      <c r="M1986" s="309"/>
      <c r="AB1986" s="310"/>
    </row>
    <row r="1987" spans="13:28" s="308" customFormat="1" x14ac:dyDescent="0.2">
      <c r="M1987" s="309"/>
      <c r="AB1987" s="310"/>
    </row>
    <row r="1988" spans="13:28" s="308" customFormat="1" x14ac:dyDescent="0.2">
      <c r="M1988" s="309"/>
      <c r="AB1988" s="310"/>
    </row>
    <row r="1989" spans="13:28" s="308" customFormat="1" x14ac:dyDescent="0.2">
      <c r="M1989" s="309"/>
      <c r="AB1989" s="310"/>
    </row>
    <row r="1990" spans="13:28" s="308" customFormat="1" x14ac:dyDescent="0.2">
      <c r="M1990" s="309"/>
      <c r="AB1990" s="310"/>
    </row>
    <row r="1991" spans="13:28" s="308" customFormat="1" x14ac:dyDescent="0.2">
      <c r="M1991" s="309"/>
      <c r="AB1991" s="310"/>
    </row>
    <row r="1992" spans="13:28" s="308" customFormat="1" x14ac:dyDescent="0.2">
      <c r="M1992" s="309"/>
      <c r="AB1992" s="310"/>
    </row>
    <row r="1993" spans="13:28" s="308" customFormat="1" x14ac:dyDescent="0.2">
      <c r="M1993" s="309"/>
      <c r="AB1993" s="310"/>
    </row>
    <row r="1994" spans="13:28" s="308" customFormat="1" x14ac:dyDescent="0.2">
      <c r="M1994" s="309"/>
      <c r="AB1994" s="310"/>
    </row>
    <row r="1995" spans="13:28" s="308" customFormat="1" x14ac:dyDescent="0.2">
      <c r="M1995" s="309"/>
      <c r="AB1995" s="310"/>
    </row>
    <row r="1996" spans="13:28" s="308" customFormat="1" x14ac:dyDescent="0.2">
      <c r="M1996" s="309"/>
      <c r="AB1996" s="310"/>
    </row>
    <row r="1997" spans="13:28" s="308" customFormat="1" x14ac:dyDescent="0.2">
      <c r="M1997" s="309"/>
      <c r="AB1997" s="310"/>
    </row>
    <row r="1998" spans="13:28" s="308" customFormat="1" x14ac:dyDescent="0.2">
      <c r="M1998" s="309"/>
      <c r="AB1998" s="310"/>
    </row>
    <row r="1999" spans="13:28" s="308" customFormat="1" x14ac:dyDescent="0.2">
      <c r="M1999" s="309"/>
      <c r="AB1999" s="310"/>
    </row>
    <row r="2000" spans="13:28" s="308" customFormat="1" x14ac:dyDescent="0.2">
      <c r="M2000" s="309"/>
      <c r="AB2000" s="310"/>
    </row>
    <row r="2001" spans="13:28" s="308" customFormat="1" x14ac:dyDescent="0.2">
      <c r="M2001" s="309"/>
      <c r="AB2001" s="310"/>
    </row>
    <row r="2002" spans="13:28" s="308" customFormat="1" x14ac:dyDescent="0.2">
      <c r="M2002" s="309"/>
      <c r="AB2002" s="310"/>
    </row>
    <row r="2003" spans="13:28" s="308" customFormat="1" x14ac:dyDescent="0.2">
      <c r="M2003" s="309"/>
      <c r="AB2003" s="310"/>
    </row>
    <row r="2004" spans="13:28" s="308" customFormat="1" x14ac:dyDescent="0.2">
      <c r="M2004" s="309"/>
      <c r="AB2004" s="310"/>
    </row>
    <row r="2005" spans="13:28" s="308" customFormat="1" x14ac:dyDescent="0.2">
      <c r="M2005" s="309"/>
      <c r="AB2005" s="310"/>
    </row>
    <row r="2006" spans="13:28" s="308" customFormat="1" x14ac:dyDescent="0.2">
      <c r="M2006" s="309"/>
      <c r="AB2006" s="310"/>
    </row>
    <row r="2007" spans="13:28" s="308" customFormat="1" x14ac:dyDescent="0.2">
      <c r="M2007" s="309"/>
      <c r="AB2007" s="310"/>
    </row>
    <row r="2008" spans="13:28" s="308" customFormat="1" x14ac:dyDescent="0.2">
      <c r="M2008" s="309"/>
      <c r="AB2008" s="310"/>
    </row>
    <row r="2009" spans="13:28" s="308" customFormat="1" x14ac:dyDescent="0.2">
      <c r="M2009" s="309"/>
      <c r="AB2009" s="310"/>
    </row>
    <row r="2010" spans="13:28" s="308" customFormat="1" x14ac:dyDescent="0.2">
      <c r="M2010" s="309"/>
      <c r="AB2010" s="310"/>
    </row>
    <row r="2011" spans="13:28" s="308" customFormat="1" x14ac:dyDescent="0.2">
      <c r="M2011" s="309"/>
      <c r="AB2011" s="310"/>
    </row>
    <row r="2012" spans="13:28" s="308" customFormat="1" x14ac:dyDescent="0.2">
      <c r="M2012" s="309"/>
      <c r="AB2012" s="310"/>
    </row>
    <row r="2013" spans="13:28" s="308" customFormat="1" x14ac:dyDescent="0.2">
      <c r="M2013" s="309"/>
      <c r="AB2013" s="310"/>
    </row>
    <row r="2014" spans="13:28" s="308" customFormat="1" x14ac:dyDescent="0.2">
      <c r="M2014" s="309"/>
      <c r="AB2014" s="310"/>
    </row>
    <row r="2015" spans="13:28" s="308" customFormat="1" x14ac:dyDescent="0.2">
      <c r="M2015" s="309"/>
      <c r="AB2015" s="310"/>
    </row>
    <row r="2016" spans="13:28" s="308" customFormat="1" x14ac:dyDescent="0.2">
      <c r="M2016" s="309"/>
      <c r="AB2016" s="310"/>
    </row>
    <row r="2017" spans="13:28" s="308" customFormat="1" x14ac:dyDescent="0.2">
      <c r="M2017" s="309"/>
      <c r="AB2017" s="310"/>
    </row>
    <row r="2018" spans="13:28" s="308" customFormat="1" x14ac:dyDescent="0.2">
      <c r="M2018" s="309"/>
      <c r="AB2018" s="310"/>
    </row>
    <row r="2019" spans="13:28" s="308" customFormat="1" x14ac:dyDescent="0.2">
      <c r="M2019" s="309"/>
      <c r="AB2019" s="310"/>
    </row>
    <row r="2020" spans="13:28" s="308" customFormat="1" x14ac:dyDescent="0.2">
      <c r="M2020" s="309"/>
      <c r="AB2020" s="310"/>
    </row>
    <row r="2021" spans="13:28" s="308" customFormat="1" x14ac:dyDescent="0.2">
      <c r="M2021" s="309"/>
      <c r="AB2021" s="310"/>
    </row>
    <row r="2022" spans="13:28" s="308" customFormat="1" x14ac:dyDescent="0.2">
      <c r="M2022" s="309"/>
      <c r="AB2022" s="310"/>
    </row>
    <row r="2023" spans="13:28" s="308" customFormat="1" x14ac:dyDescent="0.2">
      <c r="M2023" s="309"/>
      <c r="AB2023" s="310"/>
    </row>
    <row r="2024" spans="13:28" s="308" customFormat="1" x14ac:dyDescent="0.2">
      <c r="M2024" s="309"/>
      <c r="AB2024" s="310"/>
    </row>
    <row r="2025" spans="13:28" s="308" customFormat="1" x14ac:dyDescent="0.2">
      <c r="M2025" s="309"/>
      <c r="AB2025" s="310"/>
    </row>
    <row r="2026" spans="13:28" s="308" customFormat="1" x14ac:dyDescent="0.2">
      <c r="M2026" s="309"/>
      <c r="AB2026" s="310"/>
    </row>
    <row r="2027" spans="13:28" s="308" customFormat="1" x14ac:dyDescent="0.2">
      <c r="M2027" s="309"/>
      <c r="AB2027" s="310"/>
    </row>
    <row r="2028" spans="13:28" s="308" customFormat="1" x14ac:dyDescent="0.2">
      <c r="M2028" s="309"/>
      <c r="AB2028" s="310"/>
    </row>
    <row r="2029" spans="13:28" s="308" customFormat="1" x14ac:dyDescent="0.2">
      <c r="M2029" s="309"/>
      <c r="AB2029" s="310"/>
    </row>
    <row r="2030" spans="13:28" s="308" customFormat="1" x14ac:dyDescent="0.2">
      <c r="M2030" s="309"/>
      <c r="AB2030" s="310"/>
    </row>
    <row r="2031" spans="13:28" s="308" customFormat="1" x14ac:dyDescent="0.2">
      <c r="M2031" s="309"/>
      <c r="AB2031" s="310"/>
    </row>
    <row r="2032" spans="13:28" s="308" customFormat="1" x14ac:dyDescent="0.2">
      <c r="M2032" s="309"/>
      <c r="AB2032" s="310"/>
    </row>
    <row r="2033" spans="13:28" s="308" customFormat="1" x14ac:dyDescent="0.2">
      <c r="M2033" s="309"/>
      <c r="AB2033" s="310"/>
    </row>
    <row r="2034" spans="13:28" s="308" customFormat="1" x14ac:dyDescent="0.2">
      <c r="M2034" s="309"/>
      <c r="AB2034" s="310"/>
    </row>
    <row r="2035" spans="13:28" s="308" customFormat="1" x14ac:dyDescent="0.2">
      <c r="M2035" s="309"/>
      <c r="AB2035" s="310"/>
    </row>
    <row r="2036" spans="13:28" s="308" customFormat="1" x14ac:dyDescent="0.2">
      <c r="M2036" s="309"/>
      <c r="AB2036" s="310"/>
    </row>
    <row r="2037" spans="13:28" s="308" customFormat="1" x14ac:dyDescent="0.2">
      <c r="M2037" s="309"/>
      <c r="AB2037" s="310"/>
    </row>
    <row r="2038" spans="13:28" s="308" customFormat="1" x14ac:dyDescent="0.2">
      <c r="M2038" s="309"/>
      <c r="AB2038" s="310"/>
    </row>
    <row r="2039" spans="13:28" s="308" customFormat="1" x14ac:dyDescent="0.2">
      <c r="M2039" s="309"/>
      <c r="AB2039" s="310"/>
    </row>
    <row r="2040" spans="13:28" s="308" customFormat="1" x14ac:dyDescent="0.2">
      <c r="M2040" s="309"/>
      <c r="AB2040" s="310"/>
    </row>
    <row r="2041" spans="13:28" s="308" customFormat="1" x14ac:dyDescent="0.2">
      <c r="M2041" s="309"/>
      <c r="AB2041" s="310"/>
    </row>
    <row r="2042" spans="13:28" s="308" customFormat="1" x14ac:dyDescent="0.2">
      <c r="M2042" s="309"/>
      <c r="AB2042" s="310"/>
    </row>
    <row r="2043" spans="13:28" s="308" customFormat="1" x14ac:dyDescent="0.2">
      <c r="M2043" s="309"/>
      <c r="AB2043" s="310"/>
    </row>
    <row r="2044" spans="13:28" s="308" customFormat="1" x14ac:dyDescent="0.2">
      <c r="M2044" s="309"/>
      <c r="AB2044" s="310"/>
    </row>
    <row r="2045" spans="13:28" s="308" customFormat="1" x14ac:dyDescent="0.2">
      <c r="M2045" s="309"/>
      <c r="AB2045" s="310"/>
    </row>
    <row r="2046" spans="13:28" s="308" customFormat="1" x14ac:dyDescent="0.2">
      <c r="M2046" s="309"/>
      <c r="AB2046" s="310"/>
    </row>
    <row r="2047" spans="13:28" s="308" customFormat="1" x14ac:dyDescent="0.2">
      <c r="M2047" s="309"/>
      <c r="AB2047" s="310"/>
    </row>
    <row r="2048" spans="13:28" s="308" customFormat="1" x14ac:dyDescent="0.2">
      <c r="M2048" s="309"/>
      <c r="AB2048" s="310"/>
    </row>
    <row r="2049" spans="13:28" s="308" customFormat="1" x14ac:dyDescent="0.2">
      <c r="M2049" s="309"/>
      <c r="AB2049" s="310"/>
    </row>
    <row r="2050" spans="13:28" s="308" customFormat="1" x14ac:dyDescent="0.2">
      <c r="M2050" s="309"/>
      <c r="AB2050" s="310"/>
    </row>
    <row r="2051" spans="13:28" s="308" customFormat="1" x14ac:dyDescent="0.2">
      <c r="M2051" s="309"/>
      <c r="AB2051" s="310"/>
    </row>
    <row r="2052" spans="13:28" s="308" customFormat="1" x14ac:dyDescent="0.2">
      <c r="M2052" s="309"/>
      <c r="AB2052" s="310"/>
    </row>
    <row r="2053" spans="13:28" s="308" customFormat="1" x14ac:dyDescent="0.2">
      <c r="M2053" s="309"/>
      <c r="AB2053" s="310"/>
    </row>
    <row r="2054" spans="13:28" s="308" customFormat="1" x14ac:dyDescent="0.2">
      <c r="M2054" s="309"/>
      <c r="AB2054" s="310"/>
    </row>
    <row r="2055" spans="13:28" s="308" customFormat="1" x14ac:dyDescent="0.2">
      <c r="M2055" s="309"/>
      <c r="AB2055" s="310"/>
    </row>
    <row r="2056" spans="13:28" s="308" customFormat="1" x14ac:dyDescent="0.2">
      <c r="M2056" s="309"/>
      <c r="AB2056" s="310"/>
    </row>
    <row r="2057" spans="13:28" s="308" customFormat="1" x14ac:dyDescent="0.2">
      <c r="M2057" s="309"/>
      <c r="AB2057" s="310"/>
    </row>
    <row r="2058" spans="13:28" s="308" customFormat="1" x14ac:dyDescent="0.2">
      <c r="M2058" s="309"/>
      <c r="AB2058" s="310"/>
    </row>
    <row r="2059" spans="13:28" s="308" customFormat="1" x14ac:dyDescent="0.2">
      <c r="M2059" s="309"/>
      <c r="AB2059" s="310"/>
    </row>
    <row r="2060" spans="13:28" s="308" customFormat="1" x14ac:dyDescent="0.2">
      <c r="M2060" s="309"/>
      <c r="AB2060" s="310"/>
    </row>
    <row r="2061" spans="13:28" s="308" customFormat="1" x14ac:dyDescent="0.2">
      <c r="M2061" s="309"/>
      <c r="AB2061" s="310"/>
    </row>
    <row r="2062" spans="13:28" s="308" customFormat="1" x14ac:dyDescent="0.2">
      <c r="M2062" s="309"/>
      <c r="AB2062" s="310"/>
    </row>
    <row r="2063" spans="13:28" s="308" customFormat="1" x14ac:dyDescent="0.2">
      <c r="M2063" s="309"/>
      <c r="AB2063" s="310"/>
    </row>
    <row r="2064" spans="13:28" s="308" customFormat="1" x14ac:dyDescent="0.2">
      <c r="M2064" s="309"/>
      <c r="AB2064" s="310"/>
    </row>
    <row r="2065" spans="13:28" s="308" customFormat="1" x14ac:dyDescent="0.2">
      <c r="M2065" s="309"/>
      <c r="AB2065" s="310"/>
    </row>
    <row r="2066" spans="13:28" s="308" customFormat="1" x14ac:dyDescent="0.2">
      <c r="M2066" s="309"/>
      <c r="AB2066" s="310"/>
    </row>
    <row r="2067" spans="13:28" s="308" customFormat="1" x14ac:dyDescent="0.2">
      <c r="M2067" s="309"/>
      <c r="AB2067" s="310"/>
    </row>
    <row r="2068" spans="13:28" s="308" customFormat="1" x14ac:dyDescent="0.2">
      <c r="M2068" s="309"/>
      <c r="AB2068" s="310"/>
    </row>
    <row r="2069" spans="13:28" s="308" customFormat="1" x14ac:dyDescent="0.2">
      <c r="M2069" s="309"/>
      <c r="AB2069" s="310"/>
    </row>
    <row r="2070" spans="13:28" s="308" customFormat="1" x14ac:dyDescent="0.2">
      <c r="M2070" s="309"/>
      <c r="AB2070" s="310"/>
    </row>
    <row r="2071" spans="13:28" s="308" customFormat="1" x14ac:dyDescent="0.2">
      <c r="M2071" s="309"/>
      <c r="AB2071" s="310"/>
    </row>
    <row r="2072" spans="13:28" s="308" customFormat="1" x14ac:dyDescent="0.2">
      <c r="M2072" s="309"/>
      <c r="AB2072" s="310"/>
    </row>
    <row r="2073" spans="13:28" s="308" customFormat="1" x14ac:dyDescent="0.2">
      <c r="M2073" s="309"/>
      <c r="AB2073" s="310"/>
    </row>
    <row r="2074" spans="13:28" s="308" customFormat="1" x14ac:dyDescent="0.2">
      <c r="M2074" s="309"/>
      <c r="AB2074" s="310"/>
    </row>
    <row r="2075" spans="13:28" s="308" customFormat="1" x14ac:dyDescent="0.2">
      <c r="M2075" s="309"/>
      <c r="AB2075" s="310"/>
    </row>
    <row r="2076" spans="13:28" s="308" customFormat="1" x14ac:dyDescent="0.2">
      <c r="M2076" s="309"/>
      <c r="AB2076" s="310"/>
    </row>
    <row r="2077" spans="13:28" s="308" customFormat="1" x14ac:dyDescent="0.2">
      <c r="M2077" s="309"/>
      <c r="AB2077" s="310"/>
    </row>
    <row r="2078" spans="13:28" s="308" customFormat="1" x14ac:dyDescent="0.2">
      <c r="M2078" s="309"/>
      <c r="AB2078" s="310"/>
    </row>
    <row r="2079" spans="13:28" s="308" customFormat="1" x14ac:dyDescent="0.2">
      <c r="M2079" s="309"/>
      <c r="AB2079" s="310"/>
    </row>
    <row r="2080" spans="13:28" s="308" customFormat="1" x14ac:dyDescent="0.2">
      <c r="M2080" s="309"/>
      <c r="AB2080" s="310"/>
    </row>
    <row r="2081" spans="13:28" s="308" customFormat="1" x14ac:dyDescent="0.2">
      <c r="M2081" s="309"/>
      <c r="AB2081" s="310"/>
    </row>
    <row r="2082" spans="13:28" s="308" customFormat="1" x14ac:dyDescent="0.2">
      <c r="M2082" s="309"/>
      <c r="AB2082" s="310"/>
    </row>
    <row r="2083" spans="13:28" s="308" customFormat="1" x14ac:dyDescent="0.2">
      <c r="M2083" s="309"/>
      <c r="AB2083" s="310"/>
    </row>
    <row r="2084" spans="13:28" s="308" customFormat="1" x14ac:dyDescent="0.2">
      <c r="M2084" s="309"/>
      <c r="AB2084" s="310"/>
    </row>
    <row r="2085" spans="13:28" s="308" customFormat="1" x14ac:dyDescent="0.2">
      <c r="M2085" s="309"/>
      <c r="AB2085" s="310"/>
    </row>
    <row r="2086" spans="13:28" s="308" customFormat="1" x14ac:dyDescent="0.2">
      <c r="M2086" s="309"/>
      <c r="AB2086" s="310"/>
    </row>
    <row r="2087" spans="13:28" s="308" customFormat="1" x14ac:dyDescent="0.2">
      <c r="M2087" s="309"/>
      <c r="AB2087" s="310"/>
    </row>
    <row r="2088" spans="13:28" s="308" customFormat="1" x14ac:dyDescent="0.2">
      <c r="M2088" s="309"/>
      <c r="AB2088" s="310"/>
    </row>
    <row r="2089" spans="13:28" s="308" customFormat="1" x14ac:dyDescent="0.2">
      <c r="M2089" s="309"/>
      <c r="AB2089" s="310"/>
    </row>
    <row r="2090" spans="13:28" s="308" customFormat="1" x14ac:dyDescent="0.2">
      <c r="M2090" s="309"/>
      <c r="AB2090" s="310"/>
    </row>
    <row r="2091" spans="13:28" s="308" customFormat="1" x14ac:dyDescent="0.2">
      <c r="M2091" s="309"/>
      <c r="AB2091" s="310"/>
    </row>
    <row r="2092" spans="13:28" s="308" customFormat="1" x14ac:dyDescent="0.2">
      <c r="M2092" s="309"/>
      <c r="AB2092" s="310"/>
    </row>
    <row r="2093" spans="13:28" s="308" customFormat="1" x14ac:dyDescent="0.2">
      <c r="M2093" s="309"/>
      <c r="AB2093" s="310"/>
    </row>
    <row r="2094" spans="13:28" s="308" customFormat="1" x14ac:dyDescent="0.2">
      <c r="M2094" s="309"/>
      <c r="AB2094" s="310"/>
    </row>
    <row r="2095" spans="13:28" s="308" customFormat="1" x14ac:dyDescent="0.2">
      <c r="M2095" s="309"/>
      <c r="AB2095" s="310"/>
    </row>
    <row r="2096" spans="13:28" s="308" customFormat="1" x14ac:dyDescent="0.2">
      <c r="M2096" s="309"/>
      <c r="AB2096" s="310"/>
    </row>
    <row r="2097" spans="13:28" s="308" customFormat="1" x14ac:dyDescent="0.2">
      <c r="M2097" s="309"/>
      <c r="AB2097" s="310"/>
    </row>
    <row r="2098" spans="13:28" s="308" customFormat="1" x14ac:dyDescent="0.2">
      <c r="M2098" s="309"/>
      <c r="AB2098" s="310"/>
    </row>
    <row r="2099" spans="13:28" s="308" customFormat="1" x14ac:dyDescent="0.2">
      <c r="M2099" s="309"/>
      <c r="AB2099" s="310"/>
    </row>
    <row r="2100" spans="13:28" s="308" customFormat="1" x14ac:dyDescent="0.2">
      <c r="M2100" s="309"/>
      <c r="AB2100" s="310"/>
    </row>
    <row r="2101" spans="13:28" s="308" customFormat="1" x14ac:dyDescent="0.2">
      <c r="M2101" s="309"/>
      <c r="AB2101" s="310"/>
    </row>
    <row r="2102" spans="13:28" s="308" customFormat="1" x14ac:dyDescent="0.2">
      <c r="M2102" s="309"/>
      <c r="AB2102" s="310"/>
    </row>
    <row r="2103" spans="13:28" s="308" customFormat="1" x14ac:dyDescent="0.2">
      <c r="M2103" s="309"/>
      <c r="AB2103" s="310"/>
    </row>
    <row r="2104" spans="13:28" s="308" customFormat="1" x14ac:dyDescent="0.2">
      <c r="M2104" s="309"/>
      <c r="AB2104" s="310"/>
    </row>
    <row r="2105" spans="13:28" s="308" customFormat="1" x14ac:dyDescent="0.2">
      <c r="M2105" s="309"/>
      <c r="AB2105" s="310"/>
    </row>
    <row r="2106" spans="13:28" s="308" customFormat="1" x14ac:dyDescent="0.2">
      <c r="M2106" s="309"/>
      <c r="AB2106" s="310"/>
    </row>
    <row r="2107" spans="13:28" s="308" customFormat="1" x14ac:dyDescent="0.2">
      <c r="M2107" s="309"/>
      <c r="AB2107" s="310"/>
    </row>
    <row r="2108" spans="13:28" s="308" customFormat="1" x14ac:dyDescent="0.2">
      <c r="M2108" s="309"/>
      <c r="AB2108" s="310"/>
    </row>
    <row r="2109" spans="13:28" s="308" customFormat="1" x14ac:dyDescent="0.2">
      <c r="M2109" s="309"/>
      <c r="AB2109" s="310"/>
    </row>
    <row r="2110" spans="13:28" s="308" customFormat="1" x14ac:dyDescent="0.2">
      <c r="M2110" s="309"/>
      <c r="AB2110" s="310"/>
    </row>
    <row r="2111" spans="13:28" s="308" customFormat="1" x14ac:dyDescent="0.2">
      <c r="M2111" s="309"/>
      <c r="AB2111" s="310"/>
    </row>
    <row r="2112" spans="13:28" s="308" customFormat="1" x14ac:dyDescent="0.2">
      <c r="M2112" s="309"/>
      <c r="AB2112" s="310"/>
    </row>
    <row r="2113" spans="13:28" s="308" customFormat="1" x14ac:dyDescent="0.2">
      <c r="M2113" s="309"/>
      <c r="AB2113" s="310"/>
    </row>
    <row r="2114" spans="13:28" s="308" customFormat="1" x14ac:dyDescent="0.2">
      <c r="M2114" s="309"/>
      <c r="AB2114" s="310"/>
    </row>
    <row r="2115" spans="13:28" s="308" customFormat="1" x14ac:dyDescent="0.2">
      <c r="M2115" s="309"/>
      <c r="AB2115" s="310"/>
    </row>
    <row r="2116" spans="13:28" s="308" customFormat="1" x14ac:dyDescent="0.2">
      <c r="M2116" s="309"/>
      <c r="AB2116" s="310"/>
    </row>
    <row r="2117" spans="13:28" s="308" customFormat="1" x14ac:dyDescent="0.2">
      <c r="M2117" s="309"/>
      <c r="AB2117" s="310"/>
    </row>
    <row r="2118" spans="13:28" s="308" customFormat="1" x14ac:dyDescent="0.2">
      <c r="M2118" s="309"/>
      <c r="AB2118" s="310"/>
    </row>
    <row r="2119" spans="13:28" s="308" customFormat="1" x14ac:dyDescent="0.2">
      <c r="M2119" s="309"/>
      <c r="AB2119" s="310"/>
    </row>
    <row r="2120" spans="13:28" s="308" customFormat="1" x14ac:dyDescent="0.2">
      <c r="M2120" s="309"/>
      <c r="AB2120" s="310"/>
    </row>
    <row r="2121" spans="13:28" s="308" customFormat="1" x14ac:dyDescent="0.2">
      <c r="M2121" s="309"/>
      <c r="AB2121" s="310"/>
    </row>
    <row r="2122" spans="13:28" s="308" customFormat="1" x14ac:dyDescent="0.2">
      <c r="M2122" s="309"/>
      <c r="AB2122" s="310"/>
    </row>
    <row r="2123" spans="13:28" s="308" customFormat="1" x14ac:dyDescent="0.2">
      <c r="M2123" s="309"/>
      <c r="AB2123" s="310"/>
    </row>
    <row r="2124" spans="13:28" s="308" customFormat="1" x14ac:dyDescent="0.2">
      <c r="M2124" s="309"/>
      <c r="AB2124" s="310"/>
    </row>
    <row r="2125" spans="13:28" s="308" customFormat="1" x14ac:dyDescent="0.2">
      <c r="M2125" s="309"/>
      <c r="AB2125" s="310"/>
    </row>
    <row r="2126" spans="13:28" s="308" customFormat="1" x14ac:dyDescent="0.2">
      <c r="M2126" s="309"/>
      <c r="AB2126" s="310"/>
    </row>
    <row r="2127" spans="13:28" s="308" customFormat="1" x14ac:dyDescent="0.2">
      <c r="M2127" s="309"/>
      <c r="AB2127" s="310"/>
    </row>
    <row r="2128" spans="13:28" s="308" customFormat="1" x14ac:dyDescent="0.2">
      <c r="M2128" s="309"/>
      <c r="AB2128" s="310"/>
    </row>
    <row r="2129" spans="13:28" s="308" customFormat="1" x14ac:dyDescent="0.2">
      <c r="M2129" s="309"/>
      <c r="AB2129" s="310"/>
    </row>
    <row r="2130" spans="13:28" s="308" customFormat="1" x14ac:dyDescent="0.2">
      <c r="M2130" s="309"/>
      <c r="AB2130" s="310"/>
    </row>
    <row r="2131" spans="13:28" s="308" customFormat="1" x14ac:dyDescent="0.2">
      <c r="M2131" s="309"/>
      <c r="AB2131" s="310"/>
    </row>
    <row r="2132" spans="13:28" s="308" customFormat="1" x14ac:dyDescent="0.2">
      <c r="M2132" s="309"/>
      <c r="AB2132" s="310"/>
    </row>
    <row r="2133" spans="13:28" s="308" customFormat="1" x14ac:dyDescent="0.2">
      <c r="M2133" s="309"/>
      <c r="AB2133" s="310"/>
    </row>
    <row r="2134" spans="13:28" s="308" customFormat="1" x14ac:dyDescent="0.2">
      <c r="M2134" s="309"/>
      <c r="AB2134" s="310"/>
    </row>
    <row r="2135" spans="13:28" s="308" customFormat="1" x14ac:dyDescent="0.2">
      <c r="M2135" s="309"/>
      <c r="AB2135" s="310"/>
    </row>
    <row r="2136" spans="13:28" s="308" customFormat="1" x14ac:dyDescent="0.2">
      <c r="M2136" s="309"/>
      <c r="AB2136" s="310"/>
    </row>
    <row r="2137" spans="13:28" s="308" customFormat="1" x14ac:dyDescent="0.2">
      <c r="M2137" s="309"/>
      <c r="AB2137" s="310"/>
    </row>
    <row r="2138" spans="13:28" s="308" customFormat="1" x14ac:dyDescent="0.2">
      <c r="M2138" s="309"/>
      <c r="AB2138" s="310"/>
    </row>
    <row r="2139" spans="13:28" s="308" customFormat="1" x14ac:dyDescent="0.2">
      <c r="M2139" s="309"/>
      <c r="AB2139" s="310"/>
    </row>
    <row r="2140" spans="13:28" s="308" customFormat="1" x14ac:dyDescent="0.2">
      <c r="M2140" s="309"/>
      <c r="AB2140" s="310"/>
    </row>
    <row r="2141" spans="13:28" s="308" customFormat="1" x14ac:dyDescent="0.2">
      <c r="M2141" s="309"/>
      <c r="AB2141" s="310"/>
    </row>
    <row r="2142" spans="13:28" s="308" customFormat="1" x14ac:dyDescent="0.2">
      <c r="M2142" s="309"/>
      <c r="AB2142" s="310"/>
    </row>
    <row r="2143" spans="13:28" s="308" customFormat="1" x14ac:dyDescent="0.2">
      <c r="M2143" s="309"/>
      <c r="AB2143" s="310"/>
    </row>
    <row r="2144" spans="13:28" s="308" customFormat="1" x14ac:dyDescent="0.2">
      <c r="M2144" s="309"/>
      <c r="AB2144" s="310"/>
    </row>
    <row r="2145" spans="13:28" s="308" customFormat="1" x14ac:dyDescent="0.2">
      <c r="M2145" s="309"/>
      <c r="AB2145" s="310"/>
    </row>
    <row r="2146" spans="13:28" s="308" customFormat="1" x14ac:dyDescent="0.2">
      <c r="M2146" s="309"/>
      <c r="AB2146" s="310"/>
    </row>
    <row r="2147" spans="13:28" s="308" customFormat="1" x14ac:dyDescent="0.2">
      <c r="M2147" s="309"/>
      <c r="AB2147" s="310"/>
    </row>
    <row r="2148" spans="13:28" s="308" customFormat="1" x14ac:dyDescent="0.2">
      <c r="M2148" s="309"/>
      <c r="AB2148" s="310"/>
    </row>
    <row r="2149" spans="13:28" s="308" customFormat="1" x14ac:dyDescent="0.2">
      <c r="M2149" s="309"/>
      <c r="AB2149" s="310"/>
    </row>
    <row r="2150" spans="13:28" s="308" customFormat="1" x14ac:dyDescent="0.2">
      <c r="M2150" s="309"/>
      <c r="AB2150" s="310"/>
    </row>
    <row r="2151" spans="13:28" s="308" customFormat="1" x14ac:dyDescent="0.2">
      <c r="M2151" s="309"/>
      <c r="AB2151" s="310"/>
    </row>
    <row r="2152" spans="13:28" s="308" customFormat="1" x14ac:dyDescent="0.2">
      <c r="M2152" s="309"/>
      <c r="AB2152" s="310"/>
    </row>
    <row r="2153" spans="13:28" s="308" customFormat="1" x14ac:dyDescent="0.2">
      <c r="M2153" s="309"/>
      <c r="AB2153" s="310"/>
    </row>
    <row r="2154" spans="13:28" s="308" customFormat="1" x14ac:dyDescent="0.2">
      <c r="M2154" s="309"/>
      <c r="AB2154" s="310"/>
    </row>
    <row r="2155" spans="13:28" s="308" customFormat="1" x14ac:dyDescent="0.2">
      <c r="M2155" s="309"/>
      <c r="AB2155" s="310"/>
    </row>
    <row r="2156" spans="13:28" s="308" customFormat="1" x14ac:dyDescent="0.2">
      <c r="M2156" s="309"/>
      <c r="AB2156" s="310"/>
    </row>
    <row r="2157" spans="13:28" s="308" customFormat="1" x14ac:dyDescent="0.2">
      <c r="M2157" s="309"/>
      <c r="AB2157" s="310"/>
    </row>
    <row r="2158" spans="13:28" s="308" customFormat="1" x14ac:dyDescent="0.2">
      <c r="M2158" s="309"/>
      <c r="AB2158" s="310"/>
    </row>
    <row r="2159" spans="13:28" s="308" customFormat="1" x14ac:dyDescent="0.2">
      <c r="M2159" s="309"/>
      <c r="AB2159" s="310"/>
    </row>
    <row r="2160" spans="13:28" s="308" customFormat="1" x14ac:dyDescent="0.2">
      <c r="M2160" s="309"/>
      <c r="AB2160" s="310"/>
    </row>
    <row r="2161" spans="13:28" s="308" customFormat="1" x14ac:dyDescent="0.2">
      <c r="M2161" s="309"/>
      <c r="AB2161" s="310"/>
    </row>
    <row r="2162" spans="13:28" s="308" customFormat="1" x14ac:dyDescent="0.2">
      <c r="M2162" s="309"/>
      <c r="AB2162" s="310"/>
    </row>
    <row r="2163" spans="13:28" s="308" customFormat="1" x14ac:dyDescent="0.2">
      <c r="M2163" s="309"/>
      <c r="AB2163" s="310"/>
    </row>
    <row r="2164" spans="13:28" s="308" customFormat="1" x14ac:dyDescent="0.2">
      <c r="M2164" s="309"/>
      <c r="AB2164" s="310"/>
    </row>
    <row r="2165" spans="13:28" s="308" customFormat="1" x14ac:dyDescent="0.2">
      <c r="M2165" s="309"/>
      <c r="AB2165" s="310"/>
    </row>
    <row r="2166" spans="13:28" s="308" customFormat="1" x14ac:dyDescent="0.2">
      <c r="M2166" s="309"/>
      <c r="AB2166" s="310"/>
    </row>
    <row r="2167" spans="13:28" s="308" customFormat="1" x14ac:dyDescent="0.2">
      <c r="M2167" s="309"/>
      <c r="AB2167" s="310"/>
    </row>
    <row r="2168" spans="13:28" s="308" customFormat="1" x14ac:dyDescent="0.2">
      <c r="M2168" s="309"/>
      <c r="AB2168" s="310"/>
    </row>
    <row r="2169" spans="13:28" s="308" customFormat="1" x14ac:dyDescent="0.2">
      <c r="M2169" s="309"/>
      <c r="AB2169" s="310"/>
    </row>
    <row r="2170" spans="13:28" s="308" customFormat="1" x14ac:dyDescent="0.2">
      <c r="M2170" s="309"/>
      <c r="AB2170" s="310"/>
    </row>
    <row r="2171" spans="13:28" s="308" customFormat="1" x14ac:dyDescent="0.2">
      <c r="M2171" s="309"/>
      <c r="AB2171" s="310"/>
    </row>
    <row r="2172" spans="13:28" s="308" customFormat="1" x14ac:dyDescent="0.2">
      <c r="M2172" s="309"/>
      <c r="AB2172" s="310"/>
    </row>
    <row r="2173" spans="13:28" s="308" customFormat="1" x14ac:dyDescent="0.2">
      <c r="M2173" s="309"/>
      <c r="AB2173" s="310"/>
    </row>
    <row r="2174" spans="13:28" s="308" customFormat="1" x14ac:dyDescent="0.2">
      <c r="M2174" s="309"/>
      <c r="AB2174" s="310"/>
    </row>
    <row r="2175" spans="13:28" s="308" customFormat="1" x14ac:dyDescent="0.2">
      <c r="M2175" s="309"/>
      <c r="AB2175" s="310"/>
    </row>
    <row r="2176" spans="13:28" s="308" customFormat="1" x14ac:dyDescent="0.2">
      <c r="M2176" s="309"/>
      <c r="AB2176" s="310"/>
    </row>
    <row r="2177" spans="13:28" s="308" customFormat="1" x14ac:dyDescent="0.2">
      <c r="M2177" s="309"/>
      <c r="AB2177" s="310"/>
    </row>
    <row r="2178" spans="13:28" s="308" customFormat="1" x14ac:dyDescent="0.2">
      <c r="M2178" s="309"/>
      <c r="AB2178" s="310"/>
    </row>
    <row r="2179" spans="13:28" s="308" customFormat="1" x14ac:dyDescent="0.2">
      <c r="M2179" s="309"/>
      <c r="AB2179" s="310"/>
    </row>
    <row r="2180" spans="13:28" s="308" customFormat="1" x14ac:dyDescent="0.2">
      <c r="M2180" s="309"/>
      <c r="AB2180" s="310"/>
    </row>
    <row r="2181" spans="13:28" s="308" customFormat="1" x14ac:dyDescent="0.2">
      <c r="M2181" s="309"/>
      <c r="AB2181" s="310"/>
    </row>
    <row r="2182" spans="13:28" s="308" customFormat="1" x14ac:dyDescent="0.2">
      <c r="M2182" s="309"/>
      <c r="AB2182" s="310"/>
    </row>
    <row r="2183" spans="13:28" s="308" customFormat="1" x14ac:dyDescent="0.2">
      <c r="M2183" s="309"/>
      <c r="AB2183" s="310"/>
    </row>
    <row r="2184" spans="13:28" s="308" customFormat="1" x14ac:dyDescent="0.2">
      <c r="M2184" s="309"/>
      <c r="AB2184" s="310"/>
    </row>
    <row r="2185" spans="13:28" s="308" customFormat="1" x14ac:dyDescent="0.2">
      <c r="M2185" s="309"/>
      <c r="AB2185" s="310"/>
    </row>
    <row r="2186" spans="13:28" s="308" customFormat="1" x14ac:dyDescent="0.2">
      <c r="M2186" s="309"/>
      <c r="AB2186" s="310"/>
    </row>
    <row r="2187" spans="13:28" s="308" customFormat="1" x14ac:dyDescent="0.2">
      <c r="M2187" s="309"/>
      <c r="AB2187" s="310"/>
    </row>
    <row r="2188" spans="13:28" s="308" customFormat="1" x14ac:dyDescent="0.2">
      <c r="M2188" s="309"/>
      <c r="AB2188" s="310"/>
    </row>
    <row r="2189" spans="13:28" s="308" customFormat="1" x14ac:dyDescent="0.2">
      <c r="M2189" s="309"/>
      <c r="AB2189" s="310"/>
    </row>
    <row r="2190" spans="13:28" s="308" customFormat="1" x14ac:dyDescent="0.2">
      <c r="M2190" s="309"/>
      <c r="AB2190" s="310"/>
    </row>
    <row r="2191" spans="13:28" s="308" customFormat="1" x14ac:dyDescent="0.2">
      <c r="M2191" s="309"/>
      <c r="AB2191" s="310"/>
    </row>
    <row r="2192" spans="13:28" s="308" customFormat="1" x14ac:dyDescent="0.2">
      <c r="M2192" s="309"/>
      <c r="AB2192" s="310"/>
    </row>
    <row r="2193" spans="13:28" s="308" customFormat="1" x14ac:dyDescent="0.2">
      <c r="M2193" s="309"/>
      <c r="AB2193" s="310"/>
    </row>
    <row r="2194" spans="13:28" s="308" customFormat="1" x14ac:dyDescent="0.2">
      <c r="M2194" s="309"/>
      <c r="AB2194" s="310"/>
    </row>
    <row r="2195" spans="13:28" s="308" customFormat="1" x14ac:dyDescent="0.2">
      <c r="M2195" s="309"/>
      <c r="AB2195" s="310"/>
    </row>
    <row r="2196" spans="13:28" s="308" customFormat="1" x14ac:dyDescent="0.2">
      <c r="M2196" s="309"/>
      <c r="AB2196" s="310"/>
    </row>
    <row r="2197" spans="13:28" s="308" customFormat="1" x14ac:dyDescent="0.2">
      <c r="M2197" s="309"/>
      <c r="AB2197" s="310"/>
    </row>
    <row r="2198" spans="13:28" s="308" customFormat="1" x14ac:dyDescent="0.2">
      <c r="M2198" s="309"/>
      <c r="AB2198" s="310"/>
    </row>
    <row r="2199" spans="13:28" s="308" customFormat="1" x14ac:dyDescent="0.2">
      <c r="M2199" s="309"/>
      <c r="AB2199" s="310"/>
    </row>
    <row r="2200" spans="13:28" s="308" customFormat="1" x14ac:dyDescent="0.2">
      <c r="M2200" s="309"/>
      <c r="AB2200" s="310"/>
    </row>
    <row r="2201" spans="13:28" s="308" customFormat="1" x14ac:dyDescent="0.2">
      <c r="M2201" s="309"/>
      <c r="AB2201" s="310"/>
    </row>
    <row r="2202" spans="13:28" s="308" customFormat="1" x14ac:dyDescent="0.2">
      <c r="M2202" s="309"/>
      <c r="AB2202" s="310"/>
    </row>
    <row r="2203" spans="13:28" s="308" customFormat="1" x14ac:dyDescent="0.2">
      <c r="M2203" s="309"/>
      <c r="AB2203" s="310"/>
    </row>
    <row r="2204" spans="13:28" s="308" customFormat="1" x14ac:dyDescent="0.2">
      <c r="M2204" s="309"/>
      <c r="AB2204" s="310"/>
    </row>
    <row r="2205" spans="13:28" s="308" customFormat="1" x14ac:dyDescent="0.2">
      <c r="M2205" s="309"/>
      <c r="AB2205" s="310"/>
    </row>
    <row r="2206" spans="13:28" s="308" customFormat="1" x14ac:dyDescent="0.2">
      <c r="M2206" s="309"/>
      <c r="AB2206" s="310"/>
    </row>
    <row r="2207" spans="13:28" s="308" customFormat="1" x14ac:dyDescent="0.2">
      <c r="M2207" s="309"/>
      <c r="AB2207" s="310"/>
    </row>
    <row r="2208" spans="13:28" s="308" customFormat="1" x14ac:dyDescent="0.2">
      <c r="M2208" s="309"/>
      <c r="AB2208" s="310"/>
    </row>
    <row r="2209" spans="13:28" s="308" customFormat="1" x14ac:dyDescent="0.2">
      <c r="M2209" s="309"/>
      <c r="AB2209" s="310"/>
    </row>
    <row r="2210" spans="13:28" s="308" customFormat="1" x14ac:dyDescent="0.2">
      <c r="M2210" s="309"/>
      <c r="AB2210" s="310"/>
    </row>
    <row r="2211" spans="13:28" s="308" customFormat="1" x14ac:dyDescent="0.2">
      <c r="M2211" s="309"/>
      <c r="AB2211" s="310"/>
    </row>
    <row r="2212" spans="13:28" s="308" customFormat="1" x14ac:dyDescent="0.2">
      <c r="M2212" s="309"/>
      <c r="AB2212" s="310"/>
    </row>
    <row r="2213" spans="13:28" s="308" customFormat="1" x14ac:dyDescent="0.2">
      <c r="M2213" s="309"/>
      <c r="AB2213" s="310"/>
    </row>
    <row r="2214" spans="13:28" s="308" customFormat="1" x14ac:dyDescent="0.2">
      <c r="M2214" s="309"/>
      <c r="AB2214" s="310"/>
    </row>
    <row r="2215" spans="13:28" s="308" customFormat="1" x14ac:dyDescent="0.2">
      <c r="M2215" s="309"/>
      <c r="AB2215" s="310"/>
    </row>
    <row r="2216" spans="13:28" s="308" customFormat="1" x14ac:dyDescent="0.2">
      <c r="M2216" s="309"/>
      <c r="AB2216" s="310"/>
    </row>
    <row r="2217" spans="13:28" s="308" customFormat="1" x14ac:dyDescent="0.2">
      <c r="M2217" s="309"/>
      <c r="AB2217" s="310"/>
    </row>
    <row r="2218" spans="13:28" s="308" customFormat="1" x14ac:dyDescent="0.2">
      <c r="M2218" s="309"/>
      <c r="AB2218" s="310"/>
    </row>
    <row r="2219" spans="13:28" s="308" customFormat="1" x14ac:dyDescent="0.2">
      <c r="M2219" s="309"/>
      <c r="AB2219" s="310"/>
    </row>
    <row r="2220" spans="13:28" s="308" customFormat="1" x14ac:dyDescent="0.2">
      <c r="M2220" s="309"/>
      <c r="AB2220" s="310"/>
    </row>
    <row r="2221" spans="13:28" s="308" customFormat="1" x14ac:dyDescent="0.2">
      <c r="M2221" s="309"/>
      <c r="AB2221" s="310"/>
    </row>
    <row r="2222" spans="13:28" s="308" customFormat="1" x14ac:dyDescent="0.2">
      <c r="M2222" s="309"/>
      <c r="AB2222" s="310"/>
    </row>
    <row r="2223" spans="13:28" s="308" customFormat="1" x14ac:dyDescent="0.2">
      <c r="M2223" s="309"/>
      <c r="AB2223" s="310"/>
    </row>
    <row r="2224" spans="13:28" s="308" customFormat="1" x14ac:dyDescent="0.2">
      <c r="M2224" s="309"/>
      <c r="AB2224" s="310"/>
    </row>
    <row r="2225" spans="13:28" s="308" customFormat="1" x14ac:dyDescent="0.2">
      <c r="M2225" s="309"/>
      <c r="AB2225" s="310"/>
    </row>
    <row r="2226" spans="13:28" s="308" customFormat="1" x14ac:dyDescent="0.2">
      <c r="M2226" s="309"/>
      <c r="AB2226" s="310"/>
    </row>
    <row r="2227" spans="13:28" s="308" customFormat="1" x14ac:dyDescent="0.2">
      <c r="M2227" s="309"/>
      <c r="AB2227" s="310"/>
    </row>
    <row r="2228" spans="13:28" s="308" customFormat="1" x14ac:dyDescent="0.2">
      <c r="M2228" s="309"/>
      <c r="AB2228" s="310"/>
    </row>
    <row r="2229" spans="13:28" s="308" customFormat="1" x14ac:dyDescent="0.2">
      <c r="M2229" s="309"/>
      <c r="AB2229" s="310"/>
    </row>
    <row r="2230" spans="13:28" s="308" customFormat="1" x14ac:dyDescent="0.2">
      <c r="M2230" s="309"/>
      <c r="AB2230" s="310"/>
    </row>
    <row r="2231" spans="13:28" s="308" customFormat="1" x14ac:dyDescent="0.2">
      <c r="M2231" s="309"/>
      <c r="AB2231" s="310"/>
    </row>
    <row r="2232" spans="13:28" s="308" customFormat="1" x14ac:dyDescent="0.2">
      <c r="M2232" s="309"/>
      <c r="AB2232" s="310"/>
    </row>
    <row r="2233" spans="13:28" s="308" customFormat="1" x14ac:dyDescent="0.2">
      <c r="M2233" s="309"/>
      <c r="AB2233" s="310"/>
    </row>
    <row r="2234" spans="13:28" s="308" customFormat="1" x14ac:dyDescent="0.2">
      <c r="M2234" s="309"/>
      <c r="AB2234" s="310"/>
    </row>
    <row r="2235" spans="13:28" s="308" customFormat="1" x14ac:dyDescent="0.2">
      <c r="M2235" s="309"/>
      <c r="AB2235" s="310"/>
    </row>
    <row r="2236" spans="13:28" s="308" customFormat="1" x14ac:dyDescent="0.2">
      <c r="M2236" s="309"/>
      <c r="AB2236" s="310"/>
    </row>
    <row r="2237" spans="13:28" s="308" customFormat="1" x14ac:dyDescent="0.2">
      <c r="M2237" s="309"/>
      <c r="AB2237" s="310"/>
    </row>
    <row r="2238" spans="13:28" s="308" customFormat="1" x14ac:dyDescent="0.2">
      <c r="M2238" s="309"/>
      <c r="AB2238" s="310"/>
    </row>
    <row r="2239" spans="13:28" s="308" customFormat="1" x14ac:dyDescent="0.2">
      <c r="M2239" s="309"/>
      <c r="AB2239" s="310"/>
    </row>
    <row r="2240" spans="13:28" s="308" customFormat="1" x14ac:dyDescent="0.2">
      <c r="M2240" s="309"/>
      <c r="AB2240" s="310"/>
    </row>
    <row r="2241" spans="13:28" s="308" customFormat="1" x14ac:dyDescent="0.2">
      <c r="M2241" s="309"/>
      <c r="AB2241" s="310"/>
    </row>
    <row r="2242" spans="13:28" s="308" customFormat="1" x14ac:dyDescent="0.2">
      <c r="M2242" s="309"/>
      <c r="AB2242" s="310"/>
    </row>
    <row r="2243" spans="13:28" s="308" customFormat="1" x14ac:dyDescent="0.2">
      <c r="M2243" s="309"/>
      <c r="AB2243" s="310"/>
    </row>
    <row r="2244" spans="13:28" s="308" customFormat="1" x14ac:dyDescent="0.2">
      <c r="M2244" s="309"/>
      <c r="AB2244" s="310"/>
    </row>
    <row r="2245" spans="13:28" s="308" customFormat="1" x14ac:dyDescent="0.2">
      <c r="M2245" s="309"/>
      <c r="AB2245" s="310"/>
    </row>
    <row r="2246" spans="13:28" s="308" customFormat="1" x14ac:dyDescent="0.2">
      <c r="M2246" s="309"/>
      <c r="AB2246" s="310"/>
    </row>
    <row r="2247" spans="13:28" s="308" customFormat="1" x14ac:dyDescent="0.2">
      <c r="M2247" s="309"/>
      <c r="AB2247" s="310"/>
    </row>
    <row r="2248" spans="13:28" s="308" customFormat="1" x14ac:dyDescent="0.2">
      <c r="M2248" s="309"/>
      <c r="AB2248" s="310"/>
    </row>
    <row r="2249" spans="13:28" s="308" customFormat="1" x14ac:dyDescent="0.2">
      <c r="M2249" s="309"/>
      <c r="AB2249" s="310"/>
    </row>
    <row r="2250" spans="13:28" s="308" customFormat="1" x14ac:dyDescent="0.2">
      <c r="M2250" s="309"/>
      <c r="AB2250" s="310"/>
    </row>
    <row r="2251" spans="13:28" s="308" customFormat="1" x14ac:dyDescent="0.2">
      <c r="M2251" s="309"/>
      <c r="AB2251" s="310"/>
    </row>
    <row r="2252" spans="13:28" s="308" customFormat="1" x14ac:dyDescent="0.2">
      <c r="M2252" s="309"/>
      <c r="AB2252" s="310"/>
    </row>
    <row r="2253" spans="13:28" s="308" customFormat="1" x14ac:dyDescent="0.2">
      <c r="M2253" s="309"/>
      <c r="AB2253" s="310"/>
    </row>
    <row r="2254" spans="13:28" s="308" customFormat="1" x14ac:dyDescent="0.2">
      <c r="M2254" s="309"/>
      <c r="AB2254" s="310"/>
    </row>
    <row r="2255" spans="13:28" s="308" customFormat="1" x14ac:dyDescent="0.2">
      <c r="M2255" s="309"/>
      <c r="AB2255" s="310"/>
    </row>
    <row r="2256" spans="13:28" s="308" customFormat="1" x14ac:dyDescent="0.2">
      <c r="M2256" s="309"/>
      <c r="AB2256" s="310"/>
    </row>
    <row r="2257" spans="13:28" s="308" customFormat="1" x14ac:dyDescent="0.2">
      <c r="M2257" s="309"/>
      <c r="AB2257" s="310"/>
    </row>
    <row r="2258" spans="13:28" s="308" customFormat="1" x14ac:dyDescent="0.2">
      <c r="M2258" s="309"/>
      <c r="AB2258" s="310"/>
    </row>
    <row r="2259" spans="13:28" s="308" customFormat="1" x14ac:dyDescent="0.2">
      <c r="M2259" s="309"/>
      <c r="AB2259" s="310"/>
    </row>
    <row r="2260" spans="13:28" s="308" customFormat="1" x14ac:dyDescent="0.2">
      <c r="M2260" s="309"/>
      <c r="AB2260" s="310"/>
    </row>
    <row r="2261" spans="13:28" s="308" customFormat="1" x14ac:dyDescent="0.2">
      <c r="M2261" s="309"/>
      <c r="AB2261" s="310"/>
    </row>
    <row r="2262" spans="13:28" s="308" customFormat="1" x14ac:dyDescent="0.2">
      <c r="M2262" s="309"/>
      <c r="AB2262" s="310"/>
    </row>
    <row r="2263" spans="13:28" s="308" customFormat="1" x14ac:dyDescent="0.2">
      <c r="M2263" s="309"/>
      <c r="AB2263" s="310"/>
    </row>
    <row r="2264" spans="13:28" s="308" customFormat="1" x14ac:dyDescent="0.2">
      <c r="M2264" s="309"/>
      <c r="AB2264" s="310"/>
    </row>
    <row r="2265" spans="13:28" s="308" customFormat="1" x14ac:dyDescent="0.2">
      <c r="M2265" s="309"/>
      <c r="AB2265" s="310"/>
    </row>
    <row r="2266" spans="13:28" s="308" customFormat="1" x14ac:dyDescent="0.2">
      <c r="M2266" s="309"/>
      <c r="AB2266" s="310"/>
    </row>
    <row r="2267" spans="13:28" s="308" customFormat="1" x14ac:dyDescent="0.2">
      <c r="M2267" s="309"/>
      <c r="AB2267" s="310"/>
    </row>
    <row r="2268" spans="13:28" s="308" customFormat="1" x14ac:dyDescent="0.2">
      <c r="M2268" s="309"/>
      <c r="AB2268" s="310"/>
    </row>
    <row r="2269" spans="13:28" s="308" customFormat="1" x14ac:dyDescent="0.2">
      <c r="M2269" s="309"/>
      <c r="AB2269" s="310"/>
    </row>
    <row r="2270" spans="13:28" s="308" customFormat="1" x14ac:dyDescent="0.2">
      <c r="M2270" s="309"/>
      <c r="AB2270" s="310"/>
    </row>
    <row r="2271" spans="13:28" s="308" customFormat="1" x14ac:dyDescent="0.2">
      <c r="M2271" s="309"/>
      <c r="AB2271" s="310"/>
    </row>
    <row r="2272" spans="13:28" s="308" customFormat="1" x14ac:dyDescent="0.2">
      <c r="M2272" s="309"/>
      <c r="AB2272" s="310"/>
    </row>
    <row r="2273" spans="13:28" s="308" customFormat="1" x14ac:dyDescent="0.2">
      <c r="M2273" s="309"/>
      <c r="AB2273" s="310"/>
    </row>
    <row r="2274" spans="13:28" s="308" customFormat="1" x14ac:dyDescent="0.2">
      <c r="M2274" s="309"/>
      <c r="AB2274" s="310"/>
    </row>
    <row r="2275" spans="13:28" s="308" customFormat="1" x14ac:dyDescent="0.2">
      <c r="M2275" s="309"/>
      <c r="AB2275" s="310"/>
    </row>
    <row r="2276" spans="13:28" s="308" customFormat="1" x14ac:dyDescent="0.2">
      <c r="M2276" s="309"/>
      <c r="AB2276" s="310"/>
    </row>
    <row r="2277" spans="13:28" s="308" customFormat="1" x14ac:dyDescent="0.2">
      <c r="M2277" s="309"/>
      <c r="AB2277" s="310"/>
    </row>
    <row r="2278" spans="13:28" s="308" customFormat="1" x14ac:dyDescent="0.2">
      <c r="M2278" s="309"/>
      <c r="AB2278" s="310"/>
    </row>
    <row r="2279" spans="13:28" s="308" customFormat="1" x14ac:dyDescent="0.2">
      <c r="M2279" s="309"/>
      <c r="AB2279" s="310"/>
    </row>
    <row r="2280" spans="13:28" s="308" customFormat="1" x14ac:dyDescent="0.2">
      <c r="M2280" s="309"/>
      <c r="AB2280" s="310"/>
    </row>
    <row r="2281" spans="13:28" s="308" customFormat="1" x14ac:dyDescent="0.2">
      <c r="M2281" s="309"/>
      <c r="AB2281" s="310"/>
    </row>
    <row r="2282" spans="13:28" s="308" customFormat="1" x14ac:dyDescent="0.2">
      <c r="M2282" s="309"/>
      <c r="AB2282" s="310"/>
    </row>
    <row r="2283" spans="13:28" s="308" customFormat="1" x14ac:dyDescent="0.2">
      <c r="M2283" s="309"/>
      <c r="AB2283" s="310"/>
    </row>
    <row r="2284" spans="13:28" s="308" customFormat="1" x14ac:dyDescent="0.2">
      <c r="M2284" s="309"/>
      <c r="AB2284" s="310"/>
    </row>
    <row r="2285" spans="13:28" s="308" customFormat="1" x14ac:dyDescent="0.2">
      <c r="M2285" s="309"/>
      <c r="AB2285" s="310"/>
    </row>
    <row r="2286" spans="13:28" s="308" customFormat="1" x14ac:dyDescent="0.2">
      <c r="M2286" s="309"/>
      <c r="AB2286" s="310"/>
    </row>
    <row r="2287" spans="13:28" s="308" customFormat="1" x14ac:dyDescent="0.2">
      <c r="M2287" s="309"/>
      <c r="AB2287" s="310"/>
    </row>
    <row r="2288" spans="13:28" s="308" customFormat="1" x14ac:dyDescent="0.2">
      <c r="M2288" s="309"/>
      <c r="AB2288" s="310"/>
    </row>
    <row r="2289" spans="13:28" s="308" customFormat="1" x14ac:dyDescent="0.2">
      <c r="M2289" s="309"/>
      <c r="AB2289" s="310"/>
    </row>
    <row r="2290" spans="13:28" s="308" customFormat="1" x14ac:dyDescent="0.2">
      <c r="M2290" s="309"/>
      <c r="AB2290" s="310"/>
    </row>
    <row r="2291" spans="13:28" s="308" customFormat="1" x14ac:dyDescent="0.2">
      <c r="M2291" s="309"/>
      <c r="AB2291" s="310"/>
    </row>
    <row r="2292" spans="13:28" s="308" customFormat="1" x14ac:dyDescent="0.2">
      <c r="M2292" s="309"/>
      <c r="AB2292" s="310"/>
    </row>
    <row r="2293" spans="13:28" s="308" customFormat="1" x14ac:dyDescent="0.2">
      <c r="M2293" s="309"/>
      <c r="AB2293" s="310"/>
    </row>
    <row r="2294" spans="13:28" s="308" customFormat="1" x14ac:dyDescent="0.2">
      <c r="M2294" s="309"/>
      <c r="AB2294" s="310"/>
    </row>
    <row r="2295" spans="13:28" s="308" customFormat="1" x14ac:dyDescent="0.2">
      <c r="M2295" s="309"/>
      <c r="AB2295" s="310"/>
    </row>
    <row r="2296" spans="13:28" s="308" customFormat="1" x14ac:dyDescent="0.2">
      <c r="M2296" s="309"/>
      <c r="AB2296" s="310"/>
    </row>
    <row r="2297" spans="13:28" s="308" customFormat="1" x14ac:dyDescent="0.2">
      <c r="M2297" s="309"/>
      <c r="AB2297" s="310"/>
    </row>
    <row r="2298" spans="13:28" s="308" customFormat="1" x14ac:dyDescent="0.2">
      <c r="M2298" s="309"/>
      <c r="AB2298" s="310"/>
    </row>
    <row r="2299" spans="13:28" s="308" customFormat="1" x14ac:dyDescent="0.2">
      <c r="M2299" s="309"/>
      <c r="AB2299" s="310"/>
    </row>
    <row r="2300" spans="13:28" s="308" customFormat="1" x14ac:dyDescent="0.2">
      <c r="M2300" s="309"/>
      <c r="AB2300" s="310"/>
    </row>
    <row r="2301" spans="13:28" s="308" customFormat="1" x14ac:dyDescent="0.2">
      <c r="M2301" s="309"/>
      <c r="AB2301" s="310"/>
    </row>
    <row r="2302" spans="13:28" s="308" customFormat="1" x14ac:dyDescent="0.2">
      <c r="M2302" s="309"/>
      <c r="AB2302" s="310"/>
    </row>
    <row r="2303" spans="13:28" s="308" customFormat="1" x14ac:dyDescent="0.2">
      <c r="M2303" s="309"/>
      <c r="AB2303" s="310"/>
    </row>
    <row r="2304" spans="13:28" s="308" customFormat="1" x14ac:dyDescent="0.2">
      <c r="M2304" s="309"/>
      <c r="AB2304" s="310"/>
    </row>
    <row r="2305" spans="13:28" s="308" customFormat="1" x14ac:dyDescent="0.2">
      <c r="M2305" s="309"/>
      <c r="AB2305" s="310"/>
    </row>
    <row r="2306" spans="13:28" s="308" customFormat="1" x14ac:dyDescent="0.2">
      <c r="M2306" s="309"/>
      <c r="AB2306" s="310"/>
    </row>
    <row r="2307" spans="13:28" s="308" customFormat="1" x14ac:dyDescent="0.2">
      <c r="M2307" s="309"/>
      <c r="AB2307" s="310"/>
    </row>
    <row r="2308" spans="13:28" s="308" customFormat="1" x14ac:dyDescent="0.2">
      <c r="M2308" s="309"/>
      <c r="AB2308" s="310"/>
    </row>
    <row r="2309" spans="13:28" s="308" customFormat="1" x14ac:dyDescent="0.2">
      <c r="M2309" s="309"/>
      <c r="AB2309" s="310"/>
    </row>
    <row r="2310" spans="13:28" s="308" customFormat="1" x14ac:dyDescent="0.2">
      <c r="M2310" s="309"/>
      <c r="AB2310" s="310"/>
    </row>
    <row r="2311" spans="13:28" s="308" customFormat="1" x14ac:dyDescent="0.2">
      <c r="M2311" s="309"/>
      <c r="AB2311" s="310"/>
    </row>
    <row r="2312" spans="13:28" s="308" customFormat="1" x14ac:dyDescent="0.2">
      <c r="M2312" s="309"/>
      <c r="AB2312" s="310"/>
    </row>
    <row r="2313" spans="13:28" s="308" customFormat="1" x14ac:dyDescent="0.2">
      <c r="M2313" s="309"/>
      <c r="AB2313" s="310"/>
    </row>
    <row r="2314" spans="13:28" s="308" customFormat="1" x14ac:dyDescent="0.2">
      <c r="M2314" s="309"/>
      <c r="AB2314" s="310"/>
    </row>
    <row r="2315" spans="13:28" s="308" customFormat="1" x14ac:dyDescent="0.2">
      <c r="M2315" s="309"/>
      <c r="AB2315" s="310"/>
    </row>
    <row r="2316" spans="13:28" s="308" customFormat="1" x14ac:dyDescent="0.2">
      <c r="M2316" s="309"/>
      <c r="AB2316" s="310"/>
    </row>
    <row r="2317" spans="13:28" s="308" customFormat="1" x14ac:dyDescent="0.2">
      <c r="M2317" s="309"/>
      <c r="AB2317" s="310"/>
    </row>
    <row r="2318" spans="13:28" s="308" customFormat="1" x14ac:dyDescent="0.2">
      <c r="M2318" s="309"/>
      <c r="AB2318" s="310"/>
    </row>
    <row r="2319" spans="13:28" s="308" customFormat="1" x14ac:dyDescent="0.2">
      <c r="M2319" s="309"/>
      <c r="AB2319" s="310"/>
    </row>
    <row r="2320" spans="13:28" s="308" customFormat="1" x14ac:dyDescent="0.2">
      <c r="M2320" s="309"/>
      <c r="AB2320" s="310"/>
    </row>
    <row r="2321" spans="13:28" s="308" customFormat="1" x14ac:dyDescent="0.2">
      <c r="M2321" s="309"/>
      <c r="AB2321" s="310"/>
    </row>
    <row r="2322" spans="13:28" s="308" customFormat="1" x14ac:dyDescent="0.2">
      <c r="M2322" s="309"/>
      <c r="AB2322" s="310"/>
    </row>
    <row r="2323" spans="13:28" s="308" customFormat="1" x14ac:dyDescent="0.2">
      <c r="M2323" s="309"/>
      <c r="AB2323" s="310"/>
    </row>
    <row r="2324" spans="13:28" s="308" customFormat="1" x14ac:dyDescent="0.2">
      <c r="M2324" s="309"/>
      <c r="AB2324" s="310"/>
    </row>
    <row r="2325" spans="13:28" s="308" customFormat="1" x14ac:dyDescent="0.2">
      <c r="M2325" s="309"/>
      <c r="AB2325" s="310"/>
    </row>
    <row r="2326" spans="13:28" s="308" customFormat="1" x14ac:dyDescent="0.2">
      <c r="M2326" s="309"/>
      <c r="AB2326" s="310"/>
    </row>
    <row r="2327" spans="13:28" s="308" customFormat="1" x14ac:dyDescent="0.2">
      <c r="M2327" s="309"/>
      <c r="AB2327" s="310"/>
    </row>
    <row r="2328" spans="13:28" s="308" customFormat="1" x14ac:dyDescent="0.2">
      <c r="M2328" s="309"/>
      <c r="AB2328" s="310"/>
    </row>
    <row r="2329" spans="13:28" s="308" customFormat="1" x14ac:dyDescent="0.2">
      <c r="M2329" s="309"/>
      <c r="AB2329" s="310"/>
    </row>
    <row r="2330" spans="13:28" s="308" customFormat="1" x14ac:dyDescent="0.2">
      <c r="M2330" s="309"/>
      <c r="AB2330" s="310"/>
    </row>
    <row r="2331" spans="13:28" s="308" customFormat="1" x14ac:dyDescent="0.2">
      <c r="M2331" s="309"/>
      <c r="AB2331" s="310"/>
    </row>
    <row r="2332" spans="13:28" s="308" customFormat="1" x14ac:dyDescent="0.2">
      <c r="M2332" s="309"/>
      <c r="AB2332" s="310"/>
    </row>
    <row r="2333" spans="13:28" s="308" customFormat="1" x14ac:dyDescent="0.2">
      <c r="M2333" s="309"/>
      <c r="AB2333" s="310"/>
    </row>
    <row r="2334" spans="13:28" s="308" customFormat="1" x14ac:dyDescent="0.2">
      <c r="M2334" s="309"/>
      <c r="AB2334" s="310"/>
    </row>
    <row r="2335" spans="13:28" s="308" customFormat="1" x14ac:dyDescent="0.2">
      <c r="M2335" s="309"/>
      <c r="AB2335" s="310"/>
    </row>
    <row r="2336" spans="13:28" s="308" customFormat="1" x14ac:dyDescent="0.2">
      <c r="M2336" s="309"/>
      <c r="AB2336" s="310"/>
    </row>
    <row r="2337" spans="13:28" s="308" customFormat="1" x14ac:dyDescent="0.2">
      <c r="M2337" s="309"/>
      <c r="AB2337" s="310"/>
    </row>
    <row r="2338" spans="13:28" s="308" customFormat="1" x14ac:dyDescent="0.2">
      <c r="M2338" s="309"/>
      <c r="AB2338" s="310"/>
    </row>
    <row r="2339" spans="13:28" s="308" customFormat="1" x14ac:dyDescent="0.2">
      <c r="M2339" s="309"/>
      <c r="AB2339" s="310"/>
    </row>
    <row r="2340" spans="13:28" s="308" customFormat="1" x14ac:dyDescent="0.2">
      <c r="M2340" s="309"/>
      <c r="AB2340" s="310"/>
    </row>
    <row r="2341" spans="13:28" s="308" customFormat="1" x14ac:dyDescent="0.2">
      <c r="M2341" s="309"/>
      <c r="AB2341" s="310"/>
    </row>
    <row r="2342" spans="13:28" s="308" customFormat="1" x14ac:dyDescent="0.2">
      <c r="M2342" s="309"/>
      <c r="AB2342" s="310"/>
    </row>
    <row r="2343" spans="13:28" s="308" customFormat="1" x14ac:dyDescent="0.2">
      <c r="M2343" s="309"/>
      <c r="AB2343" s="310"/>
    </row>
    <row r="2344" spans="13:28" s="308" customFormat="1" x14ac:dyDescent="0.2">
      <c r="M2344" s="309"/>
      <c r="AB2344" s="310"/>
    </row>
    <row r="2345" spans="13:28" s="308" customFormat="1" x14ac:dyDescent="0.2">
      <c r="M2345" s="309"/>
      <c r="AB2345" s="310"/>
    </row>
    <row r="2346" spans="13:28" s="308" customFormat="1" x14ac:dyDescent="0.2">
      <c r="M2346" s="309"/>
      <c r="AB2346" s="310"/>
    </row>
    <row r="2347" spans="13:28" s="308" customFormat="1" x14ac:dyDescent="0.2">
      <c r="M2347" s="309"/>
      <c r="AB2347" s="310"/>
    </row>
    <row r="2348" spans="13:28" s="308" customFormat="1" x14ac:dyDescent="0.2">
      <c r="M2348" s="309"/>
      <c r="AB2348" s="310"/>
    </row>
    <row r="2349" spans="13:28" s="308" customFormat="1" x14ac:dyDescent="0.2">
      <c r="M2349" s="309"/>
      <c r="AB2349" s="310"/>
    </row>
    <row r="2350" spans="13:28" s="308" customFormat="1" x14ac:dyDescent="0.2">
      <c r="M2350" s="309"/>
      <c r="AB2350" s="310"/>
    </row>
    <row r="2351" spans="13:28" s="308" customFormat="1" x14ac:dyDescent="0.2">
      <c r="M2351" s="309"/>
      <c r="AB2351" s="310"/>
    </row>
    <row r="2352" spans="13:28" s="308" customFormat="1" x14ac:dyDescent="0.2">
      <c r="M2352" s="309"/>
      <c r="AB2352" s="310"/>
    </row>
    <row r="2353" spans="13:28" s="308" customFormat="1" x14ac:dyDescent="0.2">
      <c r="M2353" s="309"/>
      <c r="AB2353" s="310"/>
    </row>
    <row r="2354" spans="13:28" s="308" customFormat="1" x14ac:dyDescent="0.2">
      <c r="M2354" s="309"/>
      <c r="AB2354" s="310"/>
    </row>
    <row r="2355" spans="13:28" s="308" customFormat="1" x14ac:dyDescent="0.2">
      <c r="M2355" s="309"/>
      <c r="AB2355" s="310"/>
    </row>
    <row r="2356" spans="13:28" s="308" customFormat="1" x14ac:dyDescent="0.2">
      <c r="M2356" s="309"/>
      <c r="AB2356" s="310"/>
    </row>
    <row r="2357" spans="13:28" s="308" customFormat="1" x14ac:dyDescent="0.2">
      <c r="M2357" s="309"/>
      <c r="AB2357" s="310"/>
    </row>
    <row r="2358" spans="13:28" s="308" customFormat="1" x14ac:dyDescent="0.2">
      <c r="M2358" s="309"/>
      <c r="AB2358" s="310"/>
    </row>
    <row r="2359" spans="13:28" s="308" customFormat="1" x14ac:dyDescent="0.2">
      <c r="M2359" s="309"/>
      <c r="AB2359" s="310"/>
    </row>
    <row r="2360" spans="13:28" s="308" customFormat="1" x14ac:dyDescent="0.2">
      <c r="M2360" s="309"/>
      <c r="AB2360" s="310"/>
    </row>
    <row r="2361" spans="13:28" s="308" customFormat="1" x14ac:dyDescent="0.2">
      <c r="M2361" s="309"/>
      <c r="AB2361" s="310"/>
    </row>
    <row r="2362" spans="13:28" s="308" customFormat="1" x14ac:dyDescent="0.2">
      <c r="M2362" s="309"/>
      <c r="AB2362" s="310"/>
    </row>
    <row r="2363" spans="13:28" s="308" customFormat="1" x14ac:dyDescent="0.2">
      <c r="M2363" s="309"/>
      <c r="AB2363" s="310"/>
    </row>
    <row r="2364" spans="13:28" s="308" customFormat="1" x14ac:dyDescent="0.2">
      <c r="M2364" s="309"/>
      <c r="AB2364" s="310"/>
    </row>
    <row r="2365" spans="13:28" s="308" customFormat="1" x14ac:dyDescent="0.2">
      <c r="M2365" s="309"/>
      <c r="AB2365" s="310"/>
    </row>
    <row r="2366" spans="13:28" s="308" customFormat="1" x14ac:dyDescent="0.2">
      <c r="M2366" s="309"/>
      <c r="AB2366" s="310"/>
    </row>
    <row r="2367" spans="13:28" s="308" customFormat="1" x14ac:dyDescent="0.2">
      <c r="M2367" s="309"/>
      <c r="AB2367" s="310"/>
    </row>
    <row r="2368" spans="13:28" s="308" customFormat="1" x14ac:dyDescent="0.2">
      <c r="M2368" s="309"/>
      <c r="AB2368" s="310"/>
    </row>
    <row r="2369" spans="13:28" s="308" customFormat="1" x14ac:dyDescent="0.2">
      <c r="M2369" s="309"/>
      <c r="AB2369" s="310"/>
    </row>
    <row r="2370" spans="13:28" s="308" customFormat="1" x14ac:dyDescent="0.2">
      <c r="M2370" s="309"/>
      <c r="AB2370" s="310"/>
    </row>
    <row r="2371" spans="13:28" s="308" customFormat="1" x14ac:dyDescent="0.2">
      <c r="M2371" s="309"/>
      <c r="AB2371" s="310"/>
    </row>
    <row r="2372" spans="13:28" s="308" customFormat="1" x14ac:dyDescent="0.2">
      <c r="M2372" s="309"/>
      <c r="AB2372" s="310"/>
    </row>
    <row r="2373" spans="13:28" s="308" customFormat="1" x14ac:dyDescent="0.2">
      <c r="M2373" s="309"/>
      <c r="AB2373" s="310"/>
    </row>
    <row r="2374" spans="13:28" s="308" customFormat="1" x14ac:dyDescent="0.2">
      <c r="M2374" s="309"/>
      <c r="AB2374" s="310"/>
    </row>
    <row r="2375" spans="13:28" s="308" customFormat="1" x14ac:dyDescent="0.2">
      <c r="M2375" s="309"/>
      <c r="AB2375" s="310"/>
    </row>
    <row r="2376" spans="13:28" s="308" customFormat="1" x14ac:dyDescent="0.2">
      <c r="M2376" s="309"/>
      <c r="AB2376" s="310"/>
    </row>
    <row r="2377" spans="13:28" s="308" customFormat="1" x14ac:dyDescent="0.2">
      <c r="M2377" s="309"/>
      <c r="AB2377" s="310"/>
    </row>
    <row r="2378" spans="13:28" s="308" customFormat="1" x14ac:dyDescent="0.2">
      <c r="M2378" s="309"/>
      <c r="AB2378" s="310"/>
    </row>
    <row r="2379" spans="13:28" s="308" customFormat="1" x14ac:dyDescent="0.2">
      <c r="M2379" s="309"/>
      <c r="AB2379" s="310"/>
    </row>
    <row r="2380" spans="13:28" s="308" customFormat="1" x14ac:dyDescent="0.2">
      <c r="M2380" s="309"/>
      <c r="AB2380" s="310"/>
    </row>
    <row r="2381" spans="13:28" s="308" customFormat="1" x14ac:dyDescent="0.2">
      <c r="M2381" s="309"/>
      <c r="AB2381" s="310"/>
    </row>
    <row r="2382" spans="13:28" s="308" customFormat="1" x14ac:dyDescent="0.2">
      <c r="M2382" s="309"/>
      <c r="AB2382" s="310"/>
    </row>
    <row r="2383" spans="13:28" s="308" customFormat="1" x14ac:dyDescent="0.2">
      <c r="M2383" s="309"/>
      <c r="AB2383" s="310"/>
    </row>
    <row r="2384" spans="13:28" s="308" customFormat="1" x14ac:dyDescent="0.2">
      <c r="M2384" s="309"/>
      <c r="AB2384" s="310"/>
    </row>
    <row r="2385" spans="13:28" s="308" customFormat="1" x14ac:dyDescent="0.2">
      <c r="M2385" s="309"/>
      <c r="AB2385" s="310"/>
    </row>
    <row r="2386" spans="13:28" s="308" customFormat="1" x14ac:dyDescent="0.2">
      <c r="M2386" s="309"/>
      <c r="AB2386" s="310"/>
    </row>
    <row r="2387" spans="13:28" s="308" customFormat="1" x14ac:dyDescent="0.2">
      <c r="M2387" s="309"/>
      <c r="AB2387" s="310"/>
    </row>
    <row r="2388" spans="13:28" s="308" customFormat="1" x14ac:dyDescent="0.2">
      <c r="M2388" s="309"/>
      <c r="AB2388" s="310"/>
    </row>
    <row r="2389" spans="13:28" s="308" customFormat="1" x14ac:dyDescent="0.2">
      <c r="M2389" s="309"/>
      <c r="AB2389" s="310"/>
    </row>
    <row r="2390" spans="13:28" s="308" customFormat="1" x14ac:dyDescent="0.2">
      <c r="M2390" s="309"/>
      <c r="AB2390" s="310"/>
    </row>
    <row r="2391" spans="13:28" s="308" customFormat="1" x14ac:dyDescent="0.2">
      <c r="M2391" s="309"/>
      <c r="AB2391" s="310"/>
    </row>
    <row r="2392" spans="13:28" s="308" customFormat="1" x14ac:dyDescent="0.2">
      <c r="M2392" s="309"/>
      <c r="AB2392" s="310"/>
    </row>
    <row r="2393" spans="13:28" s="308" customFormat="1" x14ac:dyDescent="0.2">
      <c r="M2393" s="309"/>
      <c r="AB2393" s="310"/>
    </row>
    <row r="2394" spans="13:28" s="308" customFormat="1" x14ac:dyDescent="0.2">
      <c r="M2394" s="309"/>
      <c r="AB2394" s="310"/>
    </row>
    <row r="2395" spans="13:28" s="308" customFormat="1" x14ac:dyDescent="0.2">
      <c r="M2395" s="309"/>
      <c r="AB2395" s="310"/>
    </row>
    <row r="2396" spans="13:28" s="308" customFormat="1" x14ac:dyDescent="0.2">
      <c r="M2396" s="309"/>
      <c r="AB2396" s="310"/>
    </row>
    <row r="2397" spans="13:28" s="308" customFormat="1" x14ac:dyDescent="0.2">
      <c r="M2397" s="309"/>
      <c r="AB2397" s="310"/>
    </row>
    <row r="2398" spans="13:28" s="308" customFormat="1" x14ac:dyDescent="0.2">
      <c r="M2398" s="309"/>
      <c r="AB2398" s="310"/>
    </row>
    <row r="2399" spans="13:28" s="308" customFormat="1" x14ac:dyDescent="0.2">
      <c r="M2399" s="309"/>
      <c r="AB2399" s="310"/>
    </row>
    <row r="2400" spans="13:28" s="308" customFormat="1" x14ac:dyDescent="0.2">
      <c r="M2400" s="309"/>
      <c r="AB2400" s="310"/>
    </row>
    <row r="2401" spans="13:28" s="308" customFormat="1" x14ac:dyDescent="0.2">
      <c r="M2401" s="309"/>
      <c r="AB2401" s="310"/>
    </row>
    <row r="2402" spans="13:28" s="308" customFormat="1" x14ac:dyDescent="0.2">
      <c r="M2402" s="309"/>
      <c r="AB2402" s="310"/>
    </row>
    <row r="2403" spans="13:28" s="308" customFormat="1" x14ac:dyDescent="0.2">
      <c r="M2403" s="309"/>
      <c r="AB2403" s="310"/>
    </row>
    <row r="2404" spans="13:28" s="308" customFormat="1" x14ac:dyDescent="0.2">
      <c r="M2404" s="309"/>
      <c r="AB2404" s="310"/>
    </row>
    <row r="2405" spans="13:28" s="308" customFormat="1" x14ac:dyDescent="0.2">
      <c r="M2405" s="309"/>
      <c r="AB2405" s="310"/>
    </row>
    <row r="2406" spans="13:28" s="308" customFormat="1" x14ac:dyDescent="0.2">
      <c r="M2406" s="309"/>
      <c r="AB2406" s="310"/>
    </row>
    <row r="2407" spans="13:28" s="308" customFormat="1" x14ac:dyDescent="0.2">
      <c r="M2407" s="309"/>
      <c r="AB2407" s="310"/>
    </row>
    <row r="2408" spans="13:28" s="308" customFormat="1" x14ac:dyDescent="0.2">
      <c r="M2408" s="309"/>
      <c r="AB2408" s="310"/>
    </row>
    <row r="2409" spans="13:28" s="308" customFormat="1" x14ac:dyDescent="0.2">
      <c r="M2409" s="309"/>
      <c r="AB2409" s="310"/>
    </row>
    <row r="2410" spans="13:28" s="308" customFormat="1" x14ac:dyDescent="0.2">
      <c r="M2410" s="309"/>
      <c r="AB2410" s="310"/>
    </row>
    <row r="2411" spans="13:28" s="308" customFormat="1" x14ac:dyDescent="0.2">
      <c r="M2411" s="309"/>
      <c r="AB2411" s="310"/>
    </row>
    <row r="2412" spans="13:28" s="308" customFormat="1" x14ac:dyDescent="0.2">
      <c r="M2412" s="309"/>
      <c r="AB2412" s="310"/>
    </row>
    <row r="2413" spans="13:28" s="308" customFormat="1" x14ac:dyDescent="0.2">
      <c r="M2413" s="309"/>
      <c r="AB2413" s="310"/>
    </row>
    <row r="2414" spans="13:28" s="308" customFormat="1" x14ac:dyDescent="0.2">
      <c r="M2414" s="309"/>
      <c r="AB2414" s="310"/>
    </row>
    <row r="2415" spans="13:28" s="308" customFormat="1" x14ac:dyDescent="0.2">
      <c r="M2415" s="309"/>
      <c r="AB2415" s="310"/>
    </row>
    <row r="2416" spans="13:28" s="308" customFormat="1" x14ac:dyDescent="0.2">
      <c r="M2416" s="309"/>
      <c r="AB2416" s="310"/>
    </row>
    <row r="2417" spans="13:28" s="308" customFormat="1" x14ac:dyDescent="0.2">
      <c r="M2417" s="309"/>
      <c r="AB2417" s="310"/>
    </row>
    <row r="2418" spans="13:28" s="308" customFormat="1" x14ac:dyDescent="0.2">
      <c r="M2418" s="309"/>
      <c r="AB2418" s="310"/>
    </row>
    <row r="2419" spans="13:28" s="308" customFormat="1" x14ac:dyDescent="0.2">
      <c r="M2419" s="309"/>
      <c r="AB2419" s="310"/>
    </row>
    <row r="2420" spans="13:28" s="308" customFormat="1" x14ac:dyDescent="0.2">
      <c r="M2420" s="309"/>
      <c r="AB2420" s="310"/>
    </row>
    <row r="2421" spans="13:28" s="308" customFormat="1" x14ac:dyDescent="0.2">
      <c r="M2421" s="309"/>
      <c r="AB2421" s="310"/>
    </row>
    <row r="2422" spans="13:28" s="308" customFormat="1" x14ac:dyDescent="0.2">
      <c r="M2422" s="309"/>
      <c r="AB2422" s="310"/>
    </row>
    <row r="2423" spans="13:28" s="308" customFormat="1" x14ac:dyDescent="0.2">
      <c r="M2423" s="309"/>
      <c r="AB2423" s="310"/>
    </row>
    <row r="2424" spans="13:28" s="308" customFormat="1" x14ac:dyDescent="0.2">
      <c r="M2424" s="309"/>
      <c r="AB2424" s="310"/>
    </row>
    <row r="2425" spans="13:28" s="308" customFormat="1" x14ac:dyDescent="0.2">
      <c r="M2425" s="309"/>
      <c r="AB2425" s="310"/>
    </row>
    <row r="2426" spans="13:28" s="308" customFormat="1" x14ac:dyDescent="0.2">
      <c r="M2426" s="309"/>
      <c r="AB2426" s="310"/>
    </row>
    <row r="2427" spans="13:28" s="308" customFormat="1" x14ac:dyDescent="0.2">
      <c r="M2427" s="309"/>
      <c r="AB2427" s="310"/>
    </row>
    <row r="2428" spans="13:28" s="308" customFormat="1" x14ac:dyDescent="0.2">
      <c r="M2428" s="309"/>
      <c r="AB2428" s="310"/>
    </row>
    <row r="2429" spans="13:28" s="308" customFormat="1" x14ac:dyDescent="0.2">
      <c r="M2429" s="309"/>
      <c r="AB2429" s="310"/>
    </row>
    <row r="2430" spans="13:28" s="308" customFormat="1" x14ac:dyDescent="0.2">
      <c r="M2430" s="309"/>
      <c r="AB2430" s="310"/>
    </row>
    <row r="2431" spans="13:28" s="308" customFormat="1" x14ac:dyDescent="0.2">
      <c r="M2431" s="309"/>
      <c r="AB2431" s="310"/>
    </row>
    <row r="2432" spans="13:28" s="308" customFormat="1" x14ac:dyDescent="0.2">
      <c r="M2432" s="309"/>
      <c r="AB2432" s="310"/>
    </row>
    <row r="2433" spans="13:28" s="308" customFormat="1" x14ac:dyDescent="0.2">
      <c r="M2433" s="309"/>
      <c r="AB2433" s="310"/>
    </row>
    <row r="2434" spans="13:28" s="308" customFormat="1" x14ac:dyDescent="0.2">
      <c r="M2434" s="309"/>
      <c r="AB2434" s="310"/>
    </row>
    <row r="2435" spans="13:28" s="308" customFormat="1" x14ac:dyDescent="0.2">
      <c r="M2435" s="309"/>
      <c r="AB2435" s="310"/>
    </row>
    <row r="2436" spans="13:28" s="308" customFormat="1" x14ac:dyDescent="0.2">
      <c r="M2436" s="309"/>
      <c r="AB2436" s="310"/>
    </row>
    <row r="2437" spans="13:28" s="308" customFormat="1" x14ac:dyDescent="0.2">
      <c r="M2437" s="309"/>
      <c r="AB2437" s="310"/>
    </row>
    <row r="2438" spans="13:28" s="308" customFormat="1" x14ac:dyDescent="0.2">
      <c r="M2438" s="309"/>
      <c r="AB2438" s="310"/>
    </row>
    <row r="2439" spans="13:28" s="308" customFormat="1" x14ac:dyDescent="0.2">
      <c r="M2439" s="309"/>
      <c r="AB2439" s="310"/>
    </row>
    <row r="2440" spans="13:28" s="308" customFormat="1" x14ac:dyDescent="0.2">
      <c r="M2440" s="309"/>
      <c r="AB2440" s="310"/>
    </row>
    <row r="2441" spans="13:28" s="308" customFormat="1" x14ac:dyDescent="0.2">
      <c r="M2441" s="309"/>
      <c r="AB2441" s="310"/>
    </row>
    <row r="2442" spans="13:28" s="308" customFormat="1" x14ac:dyDescent="0.2">
      <c r="M2442" s="309"/>
      <c r="AB2442" s="310"/>
    </row>
    <row r="2443" spans="13:28" s="308" customFormat="1" x14ac:dyDescent="0.2">
      <c r="M2443" s="309"/>
      <c r="AB2443" s="310"/>
    </row>
    <row r="2444" spans="13:28" s="308" customFormat="1" x14ac:dyDescent="0.2">
      <c r="M2444" s="309"/>
      <c r="AB2444" s="310"/>
    </row>
    <row r="2445" spans="13:28" s="308" customFormat="1" x14ac:dyDescent="0.2">
      <c r="M2445" s="309"/>
      <c r="AB2445" s="310"/>
    </row>
    <row r="2446" spans="13:28" s="308" customFormat="1" x14ac:dyDescent="0.2">
      <c r="M2446" s="309"/>
      <c r="AB2446" s="310"/>
    </row>
    <row r="2447" spans="13:28" s="308" customFormat="1" x14ac:dyDescent="0.2">
      <c r="M2447" s="309"/>
      <c r="AB2447" s="310"/>
    </row>
    <row r="2448" spans="13:28" s="308" customFormat="1" x14ac:dyDescent="0.2">
      <c r="M2448" s="309"/>
      <c r="AB2448" s="310"/>
    </row>
    <row r="2449" spans="13:28" s="308" customFormat="1" x14ac:dyDescent="0.2">
      <c r="M2449" s="309"/>
      <c r="AB2449" s="310"/>
    </row>
    <row r="2450" spans="13:28" s="308" customFormat="1" x14ac:dyDescent="0.2">
      <c r="M2450" s="309"/>
      <c r="AB2450" s="310"/>
    </row>
    <row r="2451" spans="13:28" s="308" customFormat="1" x14ac:dyDescent="0.2">
      <c r="M2451" s="309"/>
      <c r="AB2451" s="310"/>
    </row>
    <row r="2452" spans="13:28" s="308" customFormat="1" x14ac:dyDescent="0.2">
      <c r="M2452" s="309"/>
      <c r="AB2452" s="310"/>
    </row>
    <row r="2453" spans="13:28" s="308" customFormat="1" x14ac:dyDescent="0.2">
      <c r="M2453" s="309"/>
      <c r="AB2453" s="310"/>
    </row>
    <row r="2454" spans="13:28" s="308" customFormat="1" x14ac:dyDescent="0.2">
      <c r="M2454" s="309"/>
      <c r="AB2454" s="310"/>
    </row>
    <row r="2455" spans="13:28" s="308" customFormat="1" x14ac:dyDescent="0.2">
      <c r="M2455" s="309"/>
      <c r="AB2455" s="310"/>
    </row>
    <row r="2456" spans="13:28" s="308" customFormat="1" x14ac:dyDescent="0.2">
      <c r="M2456" s="309"/>
      <c r="AB2456" s="310"/>
    </row>
    <row r="2457" spans="13:28" s="308" customFormat="1" x14ac:dyDescent="0.2">
      <c r="M2457" s="309"/>
      <c r="AB2457" s="310"/>
    </row>
    <row r="2458" spans="13:28" s="308" customFormat="1" x14ac:dyDescent="0.2">
      <c r="M2458" s="309"/>
      <c r="AB2458" s="310"/>
    </row>
    <row r="2459" spans="13:28" s="308" customFormat="1" x14ac:dyDescent="0.2">
      <c r="M2459" s="309"/>
      <c r="AB2459" s="310"/>
    </row>
    <row r="2460" spans="13:28" s="308" customFormat="1" x14ac:dyDescent="0.2">
      <c r="M2460" s="309"/>
      <c r="AB2460" s="310"/>
    </row>
    <row r="2461" spans="13:28" s="308" customFormat="1" x14ac:dyDescent="0.2">
      <c r="M2461" s="309"/>
      <c r="AB2461" s="310"/>
    </row>
    <row r="2462" spans="13:28" s="308" customFormat="1" x14ac:dyDescent="0.2">
      <c r="M2462" s="309"/>
      <c r="AB2462" s="310"/>
    </row>
    <row r="2463" spans="13:28" s="308" customFormat="1" x14ac:dyDescent="0.2">
      <c r="M2463" s="309"/>
      <c r="AB2463" s="310"/>
    </row>
    <row r="2464" spans="13:28" s="308" customFormat="1" x14ac:dyDescent="0.2">
      <c r="M2464" s="309"/>
      <c r="AB2464" s="310"/>
    </row>
    <row r="2465" spans="13:28" s="308" customFormat="1" x14ac:dyDescent="0.2">
      <c r="M2465" s="309"/>
      <c r="AB2465" s="310"/>
    </row>
    <row r="2466" spans="13:28" s="308" customFormat="1" x14ac:dyDescent="0.2">
      <c r="M2466" s="309"/>
      <c r="AB2466" s="310"/>
    </row>
    <row r="2467" spans="13:28" s="308" customFormat="1" x14ac:dyDescent="0.2">
      <c r="M2467" s="309"/>
      <c r="AB2467" s="310"/>
    </row>
    <row r="2468" spans="13:28" s="308" customFormat="1" x14ac:dyDescent="0.2">
      <c r="M2468" s="309"/>
      <c r="AB2468" s="310"/>
    </row>
    <row r="2469" spans="13:28" s="308" customFormat="1" x14ac:dyDescent="0.2">
      <c r="M2469" s="309"/>
      <c r="AB2469" s="310"/>
    </row>
    <row r="2470" spans="13:28" s="308" customFormat="1" x14ac:dyDescent="0.2">
      <c r="M2470" s="309"/>
      <c r="AB2470" s="310"/>
    </row>
    <row r="2471" spans="13:28" s="308" customFormat="1" x14ac:dyDescent="0.2">
      <c r="M2471" s="309"/>
      <c r="AB2471" s="310"/>
    </row>
    <row r="2472" spans="13:28" s="308" customFormat="1" x14ac:dyDescent="0.2">
      <c r="M2472" s="309"/>
      <c r="AB2472" s="310"/>
    </row>
    <row r="2473" spans="13:28" s="308" customFormat="1" x14ac:dyDescent="0.2">
      <c r="M2473" s="309"/>
      <c r="AB2473" s="310"/>
    </row>
    <row r="2474" spans="13:28" s="308" customFormat="1" x14ac:dyDescent="0.2">
      <c r="M2474" s="309"/>
      <c r="AB2474" s="310"/>
    </row>
    <row r="2475" spans="13:28" s="308" customFormat="1" x14ac:dyDescent="0.2">
      <c r="M2475" s="309"/>
      <c r="AB2475" s="310"/>
    </row>
    <row r="2476" spans="13:28" s="308" customFormat="1" x14ac:dyDescent="0.2">
      <c r="M2476" s="309"/>
      <c r="AB2476" s="310"/>
    </row>
    <row r="2477" spans="13:28" s="308" customFormat="1" x14ac:dyDescent="0.2">
      <c r="M2477" s="309"/>
      <c r="AB2477" s="310"/>
    </row>
    <row r="2478" spans="13:28" s="308" customFormat="1" x14ac:dyDescent="0.2">
      <c r="M2478" s="309"/>
      <c r="AB2478" s="310"/>
    </row>
    <row r="2479" spans="13:28" s="308" customFormat="1" x14ac:dyDescent="0.2">
      <c r="M2479" s="309"/>
      <c r="AB2479" s="310"/>
    </row>
    <row r="2480" spans="13:28" s="308" customFormat="1" x14ac:dyDescent="0.2">
      <c r="M2480" s="309"/>
      <c r="AB2480" s="310"/>
    </row>
    <row r="2481" spans="13:28" s="308" customFormat="1" x14ac:dyDescent="0.2">
      <c r="M2481" s="309"/>
      <c r="AB2481" s="310"/>
    </row>
    <row r="2482" spans="13:28" s="308" customFormat="1" x14ac:dyDescent="0.2">
      <c r="M2482" s="309"/>
      <c r="AB2482" s="310"/>
    </row>
    <row r="2483" spans="13:28" s="308" customFormat="1" x14ac:dyDescent="0.2">
      <c r="M2483" s="309"/>
      <c r="AB2483" s="310"/>
    </row>
    <row r="2484" spans="13:28" s="308" customFormat="1" x14ac:dyDescent="0.2">
      <c r="M2484" s="309"/>
      <c r="AB2484" s="310"/>
    </row>
    <row r="2485" spans="13:28" s="308" customFormat="1" x14ac:dyDescent="0.2">
      <c r="M2485" s="309"/>
      <c r="AB2485" s="310"/>
    </row>
    <row r="2486" spans="13:28" s="308" customFormat="1" x14ac:dyDescent="0.2">
      <c r="M2486" s="309"/>
      <c r="AB2486" s="310"/>
    </row>
    <row r="2487" spans="13:28" s="308" customFormat="1" x14ac:dyDescent="0.2">
      <c r="M2487" s="309"/>
      <c r="AB2487" s="310"/>
    </row>
    <row r="2488" spans="13:28" s="308" customFormat="1" x14ac:dyDescent="0.2">
      <c r="M2488" s="309"/>
      <c r="AB2488" s="310"/>
    </row>
    <row r="2489" spans="13:28" s="308" customFormat="1" x14ac:dyDescent="0.2">
      <c r="M2489" s="309"/>
      <c r="AB2489" s="310"/>
    </row>
    <row r="2490" spans="13:28" s="308" customFormat="1" x14ac:dyDescent="0.2">
      <c r="M2490" s="309"/>
      <c r="AB2490" s="310"/>
    </row>
    <row r="2491" spans="13:28" s="308" customFormat="1" x14ac:dyDescent="0.2">
      <c r="M2491" s="309"/>
      <c r="AB2491" s="310"/>
    </row>
    <row r="2492" spans="13:28" s="308" customFormat="1" x14ac:dyDescent="0.2">
      <c r="M2492" s="309"/>
      <c r="AB2492" s="310"/>
    </row>
    <row r="2493" spans="13:28" s="308" customFormat="1" x14ac:dyDescent="0.2">
      <c r="M2493" s="309"/>
      <c r="AB2493" s="310"/>
    </row>
    <row r="2494" spans="13:28" s="308" customFormat="1" x14ac:dyDescent="0.2">
      <c r="M2494" s="309"/>
      <c r="AB2494" s="310"/>
    </row>
    <row r="2495" spans="13:28" s="308" customFormat="1" x14ac:dyDescent="0.2">
      <c r="M2495" s="309"/>
      <c r="AB2495" s="310"/>
    </row>
    <row r="2496" spans="13:28" s="308" customFormat="1" x14ac:dyDescent="0.2">
      <c r="M2496" s="309"/>
      <c r="AB2496" s="310"/>
    </row>
    <row r="2497" spans="13:28" s="308" customFormat="1" x14ac:dyDescent="0.2">
      <c r="M2497" s="309"/>
      <c r="AB2497" s="310"/>
    </row>
    <row r="2498" spans="13:28" s="308" customFormat="1" x14ac:dyDescent="0.2">
      <c r="M2498" s="309"/>
      <c r="AB2498" s="310"/>
    </row>
    <row r="2499" spans="13:28" s="308" customFormat="1" x14ac:dyDescent="0.2">
      <c r="M2499" s="309"/>
      <c r="AB2499" s="310"/>
    </row>
    <row r="2500" spans="13:28" s="308" customFormat="1" x14ac:dyDescent="0.2">
      <c r="M2500" s="309"/>
      <c r="AB2500" s="310"/>
    </row>
    <row r="2501" spans="13:28" s="308" customFormat="1" x14ac:dyDescent="0.2">
      <c r="M2501" s="309"/>
      <c r="AB2501" s="310"/>
    </row>
    <row r="2502" spans="13:28" s="308" customFormat="1" x14ac:dyDescent="0.2">
      <c r="M2502" s="309"/>
      <c r="AB2502" s="310"/>
    </row>
    <row r="2503" spans="13:28" s="308" customFormat="1" x14ac:dyDescent="0.2">
      <c r="M2503" s="309"/>
      <c r="AB2503" s="310"/>
    </row>
    <row r="2504" spans="13:28" s="308" customFormat="1" x14ac:dyDescent="0.2">
      <c r="M2504" s="309"/>
      <c r="AB2504" s="310"/>
    </row>
    <row r="2505" spans="13:28" s="308" customFormat="1" x14ac:dyDescent="0.2">
      <c r="M2505" s="309"/>
      <c r="AB2505" s="310"/>
    </row>
    <row r="2506" spans="13:28" s="308" customFormat="1" x14ac:dyDescent="0.2">
      <c r="M2506" s="309"/>
      <c r="AB2506" s="310"/>
    </row>
    <row r="2507" spans="13:28" s="308" customFormat="1" x14ac:dyDescent="0.2">
      <c r="M2507" s="309"/>
      <c r="AB2507" s="310"/>
    </row>
    <row r="2508" spans="13:28" s="308" customFormat="1" x14ac:dyDescent="0.2">
      <c r="M2508" s="309"/>
      <c r="AB2508" s="310"/>
    </row>
    <row r="2509" spans="13:28" s="308" customFormat="1" x14ac:dyDescent="0.2">
      <c r="M2509" s="309"/>
      <c r="AB2509" s="310"/>
    </row>
    <row r="2510" spans="13:28" s="308" customFormat="1" x14ac:dyDescent="0.2">
      <c r="M2510" s="309"/>
      <c r="AB2510" s="310"/>
    </row>
    <row r="2511" spans="13:28" s="308" customFormat="1" x14ac:dyDescent="0.2">
      <c r="M2511" s="309"/>
      <c r="AB2511" s="310"/>
    </row>
    <row r="2512" spans="13:28" s="308" customFormat="1" x14ac:dyDescent="0.2">
      <c r="M2512" s="309"/>
      <c r="AB2512" s="310"/>
    </row>
    <row r="2513" spans="13:28" s="308" customFormat="1" x14ac:dyDescent="0.2">
      <c r="M2513" s="309"/>
      <c r="AB2513" s="310"/>
    </row>
    <row r="2514" spans="13:28" s="308" customFormat="1" x14ac:dyDescent="0.2">
      <c r="M2514" s="309"/>
      <c r="AB2514" s="310"/>
    </row>
    <row r="2515" spans="13:28" s="308" customFormat="1" x14ac:dyDescent="0.2">
      <c r="M2515" s="309"/>
      <c r="AB2515" s="310"/>
    </row>
    <row r="2516" spans="13:28" s="308" customFormat="1" x14ac:dyDescent="0.2">
      <c r="M2516" s="309"/>
      <c r="AB2516" s="310"/>
    </row>
    <row r="2517" spans="13:28" s="308" customFormat="1" x14ac:dyDescent="0.2">
      <c r="M2517" s="309"/>
      <c r="AB2517" s="310"/>
    </row>
    <row r="2518" spans="13:28" s="308" customFormat="1" x14ac:dyDescent="0.2">
      <c r="M2518" s="309"/>
      <c r="AB2518" s="310"/>
    </row>
    <row r="2519" spans="13:28" s="308" customFormat="1" x14ac:dyDescent="0.2">
      <c r="M2519" s="309"/>
      <c r="AB2519" s="310"/>
    </row>
    <row r="2520" spans="13:28" s="308" customFormat="1" x14ac:dyDescent="0.2">
      <c r="M2520" s="309"/>
      <c r="AB2520" s="310"/>
    </row>
    <row r="2521" spans="13:28" s="308" customFormat="1" x14ac:dyDescent="0.2">
      <c r="M2521" s="309"/>
      <c r="AB2521" s="310"/>
    </row>
    <row r="2522" spans="13:28" s="308" customFormat="1" x14ac:dyDescent="0.2">
      <c r="M2522" s="309"/>
      <c r="AB2522" s="310"/>
    </row>
    <row r="2523" spans="13:28" s="308" customFormat="1" x14ac:dyDescent="0.2">
      <c r="M2523" s="309"/>
      <c r="AB2523" s="310"/>
    </row>
    <row r="2524" spans="13:28" s="308" customFormat="1" x14ac:dyDescent="0.2">
      <c r="M2524" s="309"/>
      <c r="AB2524" s="310"/>
    </row>
    <row r="2525" spans="13:28" s="308" customFormat="1" x14ac:dyDescent="0.2">
      <c r="M2525" s="309"/>
      <c r="AB2525" s="310"/>
    </row>
    <row r="2526" spans="13:28" s="308" customFormat="1" x14ac:dyDescent="0.2">
      <c r="M2526" s="309"/>
      <c r="AB2526" s="310"/>
    </row>
    <row r="2527" spans="13:28" s="308" customFormat="1" x14ac:dyDescent="0.2">
      <c r="M2527" s="309"/>
      <c r="AB2527" s="310"/>
    </row>
    <row r="2528" spans="13:28" s="308" customFormat="1" x14ac:dyDescent="0.2">
      <c r="M2528" s="309"/>
      <c r="AB2528" s="310"/>
    </row>
    <row r="2529" spans="13:28" s="308" customFormat="1" x14ac:dyDescent="0.2">
      <c r="M2529" s="309"/>
      <c r="AB2529" s="310"/>
    </row>
    <row r="2530" spans="13:28" s="308" customFormat="1" x14ac:dyDescent="0.2">
      <c r="M2530" s="309"/>
      <c r="AB2530" s="310"/>
    </row>
    <row r="2531" spans="13:28" s="308" customFormat="1" x14ac:dyDescent="0.2">
      <c r="M2531" s="309"/>
      <c r="AB2531" s="310"/>
    </row>
    <row r="2532" spans="13:28" s="308" customFormat="1" x14ac:dyDescent="0.2">
      <c r="M2532" s="309"/>
      <c r="AB2532" s="310"/>
    </row>
    <row r="2533" spans="13:28" s="308" customFormat="1" x14ac:dyDescent="0.2">
      <c r="M2533" s="309"/>
      <c r="AB2533" s="310"/>
    </row>
    <row r="2534" spans="13:28" s="308" customFormat="1" x14ac:dyDescent="0.2">
      <c r="M2534" s="309"/>
      <c r="AB2534" s="310"/>
    </row>
    <row r="2535" spans="13:28" s="308" customFormat="1" x14ac:dyDescent="0.2">
      <c r="M2535" s="309"/>
      <c r="AB2535" s="310"/>
    </row>
    <row r="2536" spans="13:28" s="308" customFormat="1" x14ac:dyDescent="0.2">
      <c r="M2536" s="309"/>
      <c r="AB2536" s="310"/>
    </row>
    <row r="2537" spans="13:28" s="308" customFormat="1" x14ac:dyDescent="0.2">
      <c r="M2537" s="309"/>
      <c r="AB2537" s="310"/>
    </row>
    <row r="2538" spans="13:28" s="308" customFormat="1" x14ac:dyDescent="0.2">
      <c r="M2538" s="309"/>
      <c r="AB2538" s="310"/>
    </row>
    <row r="2539" spans="13:28" s="308" customFormat="1" x14ac:dyDescent="0.2">
      <c r="M2539" s="309"/>
      <c r="AB2539" s="310"/>
    </row>
    <row r="2540" spans="13:28" s="308" customFormat="1" x14ac:dyDescent="0.2">
      <c r="M2540" s="309"/>
      <c r="AB2540" s="310"/>
    </row>
    <row r="2541" spans="13:28" s="308" customFormat="1" x14ac:dyDescent="0.2">
      <c r="M2541" s="309"/>
      <c r="AB2541" s="310"/>
    </row>
    <row r="2542" spans="13:28" s="308" customFormat="1" x14ac:dyDescent="0.2">
      <c r="M2542" s="309"/>
      <c r="AB2542" s="310"/>
    </row>
    <row r="2543" spans="13:28" s="308" customFormat="1" x14ac:dyDescent="0.2">
      <c r="M2543" s="309"/>
      <c r="AB2543" s="310"/>
    </row>
    <row r="2544" spans="13:28" s="308" customFormat="1" x14ac:dyDescent="0.2">
      <c r="M2544" s="309"/>
      <c r="AB2544" s="310"/>
    </row>
    <row r="2545" spans="13:28" s="308" customFormat="1" x14ac:dyDescent="0.2">
      <c r="M2545" s="309"/>
      <c r="AB2545" s="310"/>
    </row>
    <row r="2546" spans="13:28" s="308" customFormat="1" x14ac:dyDescent="0.2">
      <c r="M2546" s="309"/>
      <c r="AB2546" s="310"/>
    </row>
    <row r="2547" spans="13:28" s="308" customFormat="1" x14ac:dyDescent="0.2">
      <c r="M2547" s="309"/>
      <c r="AB2547" s="310"/>
    </row>
    <row r="2548" spans="13:28" s="308" customFormat="1" x14ac:dyDescent="0.2">
      <c r="M2548" s="309"/>
      <c r="AB2548" s="310"/>
    </row>
    <row r="2549" spans="13:28" s="308" customFormat="1" x14ac:dyDescent="0.2">
      <c r="M2549" s="309"/>
      <c r="AB2549" s="310"/>
    </row>
    <row r="2550" spans="13:28" s="308" customFormat="1" x14ac:dyDescent="0.2">
      <c r="M2550" s="309"/>
      <c r="AB2550" s="310"/>
    </row>
    <row r="2551" spans="13:28" s="308" customFormat="1" x14ac:dyDescent="0.2">
      <c r="M2551" s="309"/>
      <c r="AB2551" s="310"/>
    </row>
    <row r="2552" spans="13:28" s="308" customFormat="1" x14ac:dyDescent="0.2">
      <c r="M2552" s="309"/>
      <c r="AB2552" s="310"/>
    </row>
    <row r="2553" spans="13:28" s="308" customFormat="1" x14ac:dyDescent="0.2">
      <c r="M2553" s="309"/>
      <c r="AB2553" s="310"/>
    </row>
    <row r="2554" spans="13:28" s="308" customFormat="1" x14ac:dyDescent="0.2">
      <c r="M2554" s="309"/>
      <c r="AB2554" s="310"/>
    </row>
    <row r="2555" spans="13:28" s="308" customFormat="1" x14ac:dyDescent="0.2">
      <c r="M2555" s="309"/>
      <c r="AB2555" s="310"/>
    </row>
    <row r="2556" spans="13:28" s="308" customFormat="1" x14ac:dyDescent="0.2">
      <c r="M2556" s="309"/>
      <c r="AB2556" s="310"/>
    </row>
    <row r="2557" spans="13:28" s="308" customFormat="1" x14ac:dyDescent="0.2">
      <c r="M2557" s="309"/>
      <c r="AB2557" s="310"/>
    </row>
    <row r="2558" spans="13:28" s="308" customFormat="1" x14ac:dyDescent="0.2">
      <c r="M2558" s="309"/>
      <c r="AB2558" s="310"/>
    </row>
    <row r="2559" spans="13:28" s="308" customFormat="1" x14ac:dyDescent="0.2">
      <c r="M2559" s="309"/>
      <c r="AB2559" s="310"/>
    </row>
    <row r="2560" spans="13:28" s="308" customFormat="1" x14ac:dyDescent="0.2">
      <c r="M2560" s="309"/>
      <c r="AB2560" s="310"/>
    </row>
    <row r="2561" spans="13:28" s="308" customFormat="1" x14ac:dyDescent="0.2">
      <c r="M2561" s="309"/>
      <c r="AB2561" s="310"/>
    </row>
    <row r="2562" spans="13:28" s="308" customFormat="1" x14ac:dyDescent="0.2">
      <c r="M2562" s="309"/>
      <c r="AB2562" s="310"/>
    </row>
    <row r="2563" spans="13:28" s="308" customFormat="1" x14ac:dyDescent="0.2">
      <c r="M2563" s="309"/>
      <c r="AB2563" s="310"/>
    </row>
    <row r="2564" spans="13:28" s="308" customFormat="1" x14ac:dyDescent="0.2">
      <c r="M2564" s="309"/>
      <c r="AB2564" s="310"/>
    </row>
    <row r="2565" spans="13:28" s="308" customFormat="1" x14ac:dyDescent="0.2">
      <c r="M2565" s="309"/>
      <c r="AB2565" s="310"/>
    </row>
    <row r="2566" spans="13:28" s="308" customFormat="1" x14ac:dyDescent="0.2">
      <c r="M2566" s="309"/>
      <c r="AB2566" s="310"/>
    </row>
    <row r="2567" spans="13:28" s="308" customFormat="1" x14ac:dyDescent="0.2">
      <c r="M2567" s="309"/>
      <c r="AB2567" s="310"/>
    </row>
    <row r="2568" spans="13:28" s="308" customFormat="1" x14ac:dyDescent="0.2">
      <c r="M2568" s="309"/>
      <c r="AB2568" s="310"/>
    </row>
    <row r="2569" spans="13:28" s="308" customFormat="1" x14ac:dyDescent="0.2">
      <c r="M2569" s="309"/>
      <c r="AB2569" s="310"/>
    </row>
    <row r="2570" spans="13:28" s="308" customFormat="1" x14ac:dyDescent="0.2">
      <c r="M2570" s="309"/>
      <c r="AB2570" s="310"/>
    </row>
    <row r="2571" spans="13:28" s="308" customFormat="1" x14ac:dyDescent="0.2">
      <c r="M2571" s="309"/>
      <c r="AB2571" s="310"/>
    </row>
    <row r="2572" spans="13:28" s="308" customFormat="1" x14ac:dyDescent="0.2">
      <c r="M2572" s="309"/>
      <c r="AB2572" s="310"/>
    </row>
    <row r="2573" spans="13:28" s="308" customFormat="1" x14ac:dyDescent="0.2">
      <c r="M2573" s="309"/>
      <c r="AB2573" s="310"/>
    </row>
    <row r="2574" spans="13:28" s="308" customFormat="1" x14ac:dyDescent="0.2">
      <c r="M2574" s="309"/>
      <c r="AB2574" s="310"/>
    </row>
    <row r="2575" spans="13:28" s="308" customFormat="1" x14ac:dyDescent="0.2">
      <c r="M2575" s="309"/>
      <c r="AB2575" s="310"/>
    </row>
    <row r="2576" spans="13:28" s="308" customFormat="1" x14ac:dyDescent="0.2">
      <c r="M2576" s="309"/>
      <c r="AB2576" s="310"/>
    </row>
    <row r="2577" spans="13:28" s="308" customFormat="1" x14ac:dyDescent="0.2">
      <c r="M2577" s="309"/>
      <c r="AB2577" s="310"/>
    </row>
    <row r="2578" spans="13:28" s="308" customFormat="1" x14ac:dyDescent="0.2">
      <c r="M2578" s="309"/>
      <c r="AB2578" s="310"/>
    </row>
    <row r="2579" spans="13:28" s="308" customFormat="1" x14ac:dyDescent="0.2">
      <c r="M2579" s="309"/>
      <c r="AB2579" s="310"/>
    </row>
    <row r="2580" spans="13:28" s="308" customFormat="1" x14ac:dyDescent="0.2">
      <c r="M2580" s="309"/>
      <c r="AB2580" s="310"/>
    </row>
    <row r="2581" spans="13:28" s="308" customFormat="1" x14ac:dyDescent="0.2">
      <c r="M2581" s="309"/>
      <c r="AB2581" s="310"/>
    </row>
    <row r="2582" spans="13:28" s="308" customFormat="1" x14ac:dyDescent="0.2">
      <c r="M2582" s="309"/>
      <c r="AB2582" s="310"/>
    </row>
    <row r="2583" spans="13:28" s="308" customFormat="1" x14ac:dyDescent="0.2">
      <c r="M2583" s="309"/>
      <c r="AB2583" s="310"/>
    </row>
    <row r="2584" spans="13:28" s="308" customFormat="1" x14ac:dyDescent="0.2">
      <c r="M2584" s="309"/>
      <c r="AB2584" s="310"/>
    </row>
    <row r="2585" spans="13:28" s="308" customFormat="1" x14ac:dyDescent="0.2">
      <c r="M2585" s="309"/>
      <c r="AB2585" s="310"/>
    </row>
    <row r="2586" spans="13:28" s="308" customFormat="1" x14ac:dyDescent="0.2">
      <c r="M2586" s="309"/>
      <c r="AB2586" s="310"/>
    </row>
    <row r="2587" spans="13:28" s="308" customFormat="1" x14ac:dyDescent="0.2">
      <c r="M2587" s="309"/>
      <c r="AB2587" s="310"/>
    </row>
    <row r="2588" spans="13:28" s="308" customFormat="1" x14ac:dyDescent="0.2">
      <c r="M2588" s="309"/>
      <c r="AB2588" s="310"/>
    </row>
    <row r="2589" spans="13:28" s="308" customFormat="1" x14ac:dyDescent="0.2">
      <c r="M2589" s="309"/>
      <c r="AB2589" s="310"/>
    </row>
    <row r="2590" spans="13:28" s="308" customFormat="1" x14ac:dyDescent="0.2">
      <c r="M2590" s="309"/>
      <c r="AB2590" s="310"/>
    </row>
    <row r="2591" spans="13:28" s="308" customFormat="1" x14ac:dyDescent="0.2">
      <c r="M2591" s="309"/>
      <c r="AB2591" s="310"/>
    </row>
    <row r="2592" spans="13:28" s="308" customFormat="1" x14ac:dyDescent="0.2">
      <c r="M2592" s="309"/>
      <c r="AB2592" s="310"/>
    </row>
    <row r="2593" spans="13:28" s="308" customFormat="1" x14ac:dyDescent="0.2">
      <c r="M2593" s="309"/>
      <c r="AB2593" s="310"/>
    </row>
    <row r="2594" spans="13:28" s="308" customFormat="1" x14ac:dyDescent="0.2">
      <c r="M2594" s="309"/>
      <c r="AB2594" s="310"/>
    </row>
    <row r="2595" spans="13:28" s="308" customFormat="1" x14ac:dyDescent="0.2">
      <c r="M2595" s="309"/>
      <c r="AB2595" s="310"/>
    </row>
    <row r="2596" spans="13:28" s="308" customFormat="1" x14ac:dyDescent="0.2">
      <c r="M2596" s="309"/>
      <c r="AB2596" s="310"/>
    </row>
    <row r="2597" spans="13:28" s="308" customFormat="1" x14ac:dyDescent="0.2">
      <c r="M2597" s="309"/>
      <c r="AB2597" s="310"/>
    </row>
    <row r="2598" spans="13:28" s="308" customFormat="1" x14ac:dyDescent="0.2">
      <c r="M2598" s="309"/>
      <c r="AB2598" s="310"/>
    </row>
    <row r="2599" spans="13:28" s="308" customFormat="1" x14ac:dyDescent="0.2">
      <c r="M2599" s="309"/>
      <c r="AB2599" s="310"/>
    </row>
    <row r="2600" spans="13:28" s="308" customFormat="1" x14ac:dyDescent="0.2">
      <c r="M2600" s="309"/>
      <c r="AB2600" s="310"/>
    </row>
    <row r="2601" spans="13:28" s="308" customFormat="1" x14ac:dyDescent="0.2">
      <c r="M2601" s="309"/>
      <c r="AB2601" s="310"/>
    </row>
    <row r="2602" spans="13:28" s="308" customFormat="1" x14ac:dyDescent="0.2">
      <c r="M2602" s="309"/>
      <c r="AB2602" s="310"/>
    </row>
    <row r="2603" spans="13:28" s="308" customFormat="1" x14ac:dyDescent="0.2">
      <c r="M2603" s="309"/>
      <c r="AB2603" s="310"/>
    </row>
    <row r="2604" spans="13:28" s="308" customFormat="1" x14ac:dyDescent="0.2">
      <c r="M2604" s="309"/>
      <c r="AB2604" s="310"/>
    </row>
    <row r="2605" spans="13:28" s="308" customFormat="1" x14ac:dyDescent="0.2">
      <c r="M2605" s="309"/>
      <c r="AB2605" s="310"/>
    </row>
    <row r="2606" spans="13:28" s="308" customFormat="1" x14ac:dyDescent="0.2">
      <c r="M2606" s="309"/>
      <c r="AB2606" s="310"/>
    </row>
    <row r="2607" spans="13:28" s="308" customFormat="1" x14ac:dyDescent="0.2">
      <c r="M2607" s="309"/>
      <c r="AB2607" s="310"/>
    </row>
    <row r="2608" spans="13:28" s="308" customFormat="1" x14ac:dyDescent="0.2">
      <c r="M2608" s="309"/>
      <c r="AB2608" s="310"/>
    </row>
    <row r="2609" spans="13:28" s="308" customFormat="1" x14ac:dyDescent="0.2">
      <c r="M2609" s="309"/>
      <c r="AB2609" s="310"/>
    </row>
    <row r="2610" spans="13:28" s="308" customFormat="1" x14ac:dyDescent="0.2">
      <c r="M2610" s="309"/>
      <c r="AB2610" s="310"/>
    </row>
    <row r="2611" spans="13:28" s="308" customFormat="1" x14ac:dyDescent="0.2">
      <c r="M2611" s="309"/>
      <c r="AB2611" s="310"/>
    </row>
    <row r="2612" spans="13:28" s="308" customFormat="1" x14ac:dyDescent="0.2">
      <c r="M2612" s="309"/>
      <c r="AB2612" s="310"/>
    </row>
    <row r="2613" spans="13:28" s="308" customFormat="1" x14ac:dyDescent="0.2">
      <c r="M2613" s="309"/>
      <c r="AB2613" s="310"/>
    </row>
    <row r="2614" spans="13:28" s="308" customFormat="1" x14ac:dyDescent="0.2">
      <c r="M2614" s="309"/>
      <c r="AB2614" s="310"/>
    </row>
    <row r="2615" spans="13:28" s="308" customFormat="1" x14ac:dyDescent="0.2">
      <c r="M2615" s="309"/>
      <c r="AB2615" s="310"/>
    </row>
    <row r="2616" spans="13:28" s="308" customFormat="1" x14ac:dyDescent="0.2">
      <c r="M2616" s="309"/>
      <c r="AB2616" s="310"/>
    </row>
    <row r="2617" spans="13:28" s="308" customFormat="1" x14ac:dyDescent="0.2">
      <c r="M2617" s="309"/>
      <c r="AB2617" s="310"/>
    </row>
    <row r="2618" spans="13:28" s="308" customFormat="1" x14ac:dyDescent="0.2">
      <c r="M2618" s="309"/>
      <c r="AB2618" s="310"/>
    </row>
    <row r="2619" spans="13:28" s="308" customFormat="1" x14ac:dyDescent="0.2">
      <c r="M2619" s="309"/>
      <c r="AB2619" s="310"/>
    </row>
    <row r="2620" spans="13:28" s="308" customFormat="1" x14ac:dyDescent="0.2">
      <c r="M2620" s="309"/>
      <c r="AB2620" s="310"/>
    </row>
    <row r="2621" spans="13:28" s="308" customFormat="1" x14ac:dyDescent="0.2">
      <c r="M2621" s="309"/>
      <c r="AB2621" s="310"/>
    </row>
    <row r="2622" spans="13:28" s="308" customFormat="1" x14ac:dyDescent="0.2">
      <c r="M2622" s="309"/>
      <c r="AB2622" s="310"/>
    </row>
    <row r="2623" spans="13:28" s="308" customFormat="1" x14ac:dyDescent="0.2">
      <c r="M2623" s="309"/>
      <c r="AB2623" s="310"/>
    </row>
    <row r="2624" spans="13:28" s="308" customFormat="1" x14ac:dyDescent="0.2">
      <c r="M2624" s="309"/>
      <c r="AB2624" s="310"/>
    </row>
    <row r="2625" spans="13:28" s="308" customFormat="1" x14ac:dyDescent="0.2">
      <c r="M2625" s="309"/>
      <c r="AB2625" s="310"/>
    </row>
    <row r="2626" spans="13:28" s="308" customFormat="1" x14ac:dyDescent="0.2">
      <c r="M2626" s="309"/>
      <c r="AB2626" s="310"/>
    </row>
    <row r="2627" spans="13:28" s="308" customFormat="1" x14ac:dyDescent="0.2">
      <c r="M2627" s="309"/>
      <c r="AB2627" s="310"/>
    </row>
    <row r="2628" spans="13:28" s="308" customFormat="1" x14ac:dyDescent="0.2">
      <c r="M2628" s="309"/>
      <c r="AB2628" s="310"/>
    </row>
    <row r="2629" spans="13:28" s="308" customFormat="1" x14ac:dyDescent="0.2">
      <c r="M2629" s="309"/>
      <c r="AB2629" s="310"/>
    </row>
    <row r="2630" spans="13:28" s="308" customFormat="1" x14ac:dyDescent="0.2">
      <c r="M2630" s="309"/>
      <c r="AB2630" s="310"/>
    </row>
    <row r="2631" spans="13:28" s="308" customFormat="1" x14ac:dyDescent="0.2">
      <c r="M2631" s="309"/>
      <c r="AB2631" s="310"/>
    </row>
    <row r="2632" spans="13:28" s="308" customFormat="1" x14ac:dyDescent="0.2">
      <c r="M2632" s="309"/>
      <c r="AB2632" s="310"/>
    </row>
    <row r="2633" spans="13:28" s="308" customFormat="1" x14ac:dyDescent="0.2">
      <c r="M2633" s="309"/>
      <c r="AB2633" s="310"/>
    </row>
    <row r="2634" spans="13:28" s="308" customFormat="1" x14ac:dyDescent="0.2">
      <c r="M2634" s="309"/>
      <c r="AB2634" s="310"/>
    </row>
    <row r="2635" spans="13:28" s="308" customFormat="1" x14ac:dyDescent="0.2">
      <c r="M2635" s="309"/>
      <c r="AB2635" s="310"/>
    </row>
    <row r="2636" spans="13:28" s="308" customFormat="1" x14ac:dyDescent="0.2">
      <c r="M2636" s="309"/>
      <c r="AB2636" s="310"/>
    </row>
    <row r="2637" spans="13:28" s="308" customFormat="1" x14ac:dyDescent="0.2">
      <c r="M2637" s="309"/>
      <c r="AB2637" s="310"/>
    </row>
    <row r="2638" spans="13:28" s="308" customFormat="1" x14ac:dyDescent="0.2">
      <c r="M2638" s="309"/>
      <c r="AB2638" s="310"/>
    </row>
    <row r="2639" spans="13:28" s="308" customFormat="1" x14ac:dyDescent="0.2">
      <c r="M2639" s="309"/>
      <c r="AB2639" s="310"/>
    </row>
    <row r="2640" spans="13:28" s="308" customFormat="1" x14ac:dyDescent="0.2">
      <c r="M2640" s="309"/>
      <c r="AB2640" s="310"/>
    </row>
    <row r="2641" spans="13:28" s="308" customFormat="1" x14ac:dyDescent="0.2">
      <c r="M2641" s="309"/>
      <c r="AB2641" s="310"/>
    </row>
    <row r="2642" spans="13:28" s="308" customFormat="1" x14ac:dyDescent="0.2">
      <c r="M2642" s="309"/>
      <c r="AB2642" s="310"/>
    </row>
    <row r="2643" spans="13:28" s="308" customFormat="1" x14ac:dyDescent="0.2">
      <c r="M2643" s="309"/>
      <c r="AB2643" s="310"/>
    </row>
    <row r="2644" spans="13:28" s="308" customFormat="1" x14ac:dyDescent="0.2">
      <c r="M2644" s="309"/>
      <c r="AB2644" s="310"/>
    </row>
    <row r="2645" spans="13:28" s="308" customFormat="1" x14ac:dyDescent="0.2">
      <c r="M2645" s="309"/>
      <c r="AB2645" s="310"/>
    </row>
    <row r="2646" spans="13:28" s="308" customFormat="1" x14ac:dyDescent="0.2">
      <c r="M2646" s="309"/>
      <c r="AB2646" s="310"/>
    </row>
    <row r="2647" spans="13:28" s="308" customFormat="1" x14ac:dyDescent="0.2">
      <c r="M2647" s="309"/>
      <c r="AB2647" s="310"/>
    </row>
    <row r="2648" spans="13:28" s="308" customFormat="1" x14ac:dyDescent="0.2">
      <c r="M2648" s="309"/>
      <c r="AB2648" s="310"/>
    </row>
    <row r="2649" spans="13:28" s="308" customFormat="1" x14ac:dyDescent="0.2">
      <c r="M2649" s="309"/>
      <c r="AB2649" s="310"/>
    </row>
    <row r="2650" spans="13:28" s="308" customFormat="1" x14ac:dyDescent="0.2">
      <c r="M2650" s="309"/>
      <c r="AB2650" s="310"/>
    </row>
    <row r="2651" spans="13:28" s="308" customFormat="1" x14ac:dyDescent="0.2">
      <c r="M2651" s="309"/>
      <c r="AB2651" s="310"/>
    </row>
    <row r="2652" spans="13:28" s="308" customFormat="1" x14ac:dyDescent="0.2">
      <c r="M2652" s="309"/>
      <c r="AB2652" s="310"/>
    </row>
    <row r="2653" spans="13:28" s="308" customFormat="1" x14ac:dyDescent="0.2">
      <c r="M2653" s="309"/>
      <c r="AB2653" s="310"/>
    </row>
    <row r="2654" spans="13:28" s="308" customFormat="1" x14ac:dyDescent="0.2">
      <c r="M2654" s="309"/>
      <c r="AB2654" s="310"/>
    </row>
    <row r="2655" spans="13:28" s="308" customFormat="1" x14ac:dyDescent="0.2">
      <c r="M2655" s="309"/>
      <c r="AB2655" s="310"/>
    </row>
    <row r="2656" spans="13:28" s="308" customFormat="1" x14ac:dyDescent="0.2">
      <c r="M2656" s="309"/>
      <c r="AB2656" s="310"/>
    </row>
    <row r="2657" spans="13:28" s="308" customFormat="1" x14ac:dyDescent="0.2">
      <c r="M2657" s="309"/>
      <c r="AB2657" s="310"/>
    </row>
    <row r="2658" spans="13:28" s="308" customFormat="1" x14ac:dyDescent="0.2">
      <c r="M2658" s="309"/>
      <c r="AB2658" s="310"/>
    </row>
    <row r="2659" spans="13:28" s="308" customFormat="1" x14ac:dyDescent="0.2">
      <c r="M2659" s="309"/>
      <c r="AB2659" s="310"/>
    </row>
    <row r="2660" spans="13:28" s="308" customFormat="1" x14ac:dyDescent="0.2">
      <c r="M2660" s="309"/>
      <c r="AB2660" s="310"/>
    </row>
    <row r="2661" spans="13:28" s="308" customFormat="1" x14ac:dyDescent="0.2">
      <c r="M2661" s="309"/>
      <c r="AB2661" s="310"/>
    </row>
    <row r="2662" spans="13:28" s="308" customFormat="1" x14ac:dyDescent="0.2">
      <c r="M2662" s="309"/>
      <c r="AB2662" s="310"/>
    </row>
    <row r="2663" spans="13:28" s="308" customFormat="1" x14ac:dyDescent="0.2">
      <c r="M2663" s="309"/>
      <c r="AB2663" s="310"/>
    </row>
    <row r="2664" spans="13:28" s="308" customFormat="1" x14ac:dyDescent="0.2">
      <c r="M2664" s="309"/>
      <c r="AB2664" s="310"/>
    </row>
    <row r="2665" spans="13:28" s="308" customFormat="1" x14ac:dyDescent="0.2">
      <c r="M2665" s="309"/>
      <c r="AB2665" s="310"/>
    </row>
    <row r="2666" spans="13:28" s="308" customFormat="1" x14ac:dyDescent="0.2">
      <c r="M2666" s="309"/>
      <c r="AB2666" s="310"/>
    </row>
    <row r="2667" spans="13:28" s="308" customFormat="1" x14ac:dyDescent="0.2">
      <c r="M2667" s="309"/>
      <c r="AB2667" s="310"/>
    </row>
    <row r="2668" spans="13:28" s="308" customFormat="1" x14ac:dyDescent="0.2">
      <c r="M2668" s="309"/>
      <c r="AB2668" s="310"/>
    </row>
    <row r="2669" spans="13:28" s="308" customFormat="1" x14ac:dyDescent="0.2">
      <c r="M2669" s="309"/>
      <c r="AB2669" s="310"/>
    </row>
    <row r="2670" spans="13:28" s="308" customFormat="1" x14ac:dyDescent="0.2">
      <c r="M2670" s="309"/>
      <c r="AB2670" s="310"/>
    </row>
    <row r="2671" spans="13:28" s="308" customFormat="1" x14ac:dyDescent="0.2">
      <c r="M2671" s="309"/>
      <c r="AB2671" s="310"/>
    </row>
    <row r="2672" spans="13:28" s="308" customFormat="1" x14ac:dyDescent="0.2">
      <c r="M2672" s="309"/>
      <c r="AB2672" s="310"/>
    </row>
    <row r="2673" spans="13:28" s="308" customFormat="1" x14ac:dyDescent="0.2">
      <c r="M2673" s="309"/>
      <c r="AB2673" s="310"/>
    </row>
    <row r="2674" spans="13:28" s="308" customFormat="1" x14ac:dyDescent="0.2">
      <c r="M2674" s="309"/>
      <c r="AB2674" s="310"/>
    </row>
    <row r="2675" spans="13:28" s="308" customFormat="1" x14ac:dyDescent="0.2">
      <c r="M2675" s="309"/>
      <c r="AB2675" s="310"/>
    </row>
    <row r="2676" spans="13:28" s="308" customFormat="1" x14ac:dyDescent="0.2">
      <c r="M2676" s="309"/>
      <c r="AB2676" s="310"/>
    </row>
    <row r="2677" spans="13:28" s="308" customFormat="1" x14ac:dyDescent="0.2">
      <c r="M2677" s="309"/>
      <c r="AB2677" s="310"/>
    </row>
    <row r="2678" spans="13:28" s="308" customFormat="1" x14ac:dyDescent="0.2">
      <c r="M2678" s="309"/>
      <c r="AB2678" s="310"/>
    </row>
    <row r="2679" spans="13:28" s="308" customFormat="1" x14ac:dyDescent="0.2">
      <c r="M2679" s="309"/>
      <c r="AB2679" s="310"/>
    </row>
    <row r="2680" spans="13:28" s="308" customFormat="1" x14ac:dyDescent="0.2">
      <c r="M2680" s="309"/>
      <c r="AB2680" s="310"/>
    </row>
    <row r="2681" spans="13:28" s="308" customFormat="1" x14ac:dyDescent="0.2">
      <c r="M2681" s="309"/>
      <c r="AB2681" s="310"/>
    </row>
    <row r="2682" spans="13:28" s="308" customFormat="1" x14ac:dyDescent="0.2">
      <c r="M2682" s="309"/>
      <c r="AB2682" s="310"/>
    </row>
    <row r="2683" spans="13:28" s="308" customFormat="1" x14ac:dyDescent="0.2">
      <c r="M2683" s="309"/>
      <c r="AB2683" s="310"/>
    </row>
    <row r="2684" spans="13:28" s="308" customFormat="1" x14ac:dyDescent="0.2">
      <c r="M2684" s="309"/>
      <c r="AB2684" s="310"/>
    </row>
    <row r="2685" spans="13:28" s="308" customFormat="1" x14ac:dyDescent="0.2">
      <c r="M2685" s="309"/>
      <c r="AB2685" s="310"/>
    </row>
    <row r="2686" spans="13:28" s="308" customFormat="1" x14ac:dyDescent="0.2">
      <c r="M2686" s="309"/>
      <c r="AB2686" s="310"/>
    </row>
    <row r="2687" spans="13:28" s="308" customFormat="1" x14ac:dyDescent="0.2">
      <c r="M2687" s="309"/>
      <c r="AB2687" s="310"/>
    </row>
    <row r="2688" spans="13:28" s="308" customFormat="1" x14ac:dyDescent="0.2">
      <c r="M2688" s="309"/>
      <c r="AB2688" s="310"/>
    </row>
    <row r="2689" spans="13:28" s="308" customFormat="1" x14ac:dyDescent="0.2">
      <c r="M2689" s="309"/>
      <c r="AB2689" s="310"/>
    </row>
    <row r="2690" spans="13:28" s="308" customFormat="1" x14ac:dyDescent="0.2">
      <c r="M2690" s="309"/>
      <c r="AB2690" s="310"/>
    </row>
    <row r="2691" spans="13:28" s="308" customFormat="1" x14ac:dyDescent="0.2">
      <c r="M2691" s="309"/>
      <c r="AB2691" s="310"/>
    </row>
    <row r="2692" spans="13:28" s="308" customFormat="1" x14ac:dyDescent="0.2">
      <c r="M2692" s="309"/>
      <c r="AB2692" s="310"/>
    </row>
    <row r="2693" spans="13:28" s="308" customFormat="1" x14ac:dyDescent="0.2">
      <c r="M2693" s="309"/>
      <c r="AB2693" s="310"/>
    </row>
    <row r="2694" spans="13:28" s="308" customFormat="1" x14ac:dyDescent="0.2">
      <c r="M2694" s="309"/>
      <c r="AB2694" s="310"/>
    </row>
    <row r="2695" spans="13:28" s="308" customFormat="1" x14ac:dyDescent="0.2">
      <c r="M2695" s="309"/>
      <c r="AB2695" s="310"/>
    </row>
    <row r="2696" spans="13:28" s="308" customFormat="1" x14ac:dyDescent="0.2">
      <c r="M2696" s="309"/>
      <c r="AB2696" s="310"/>
    </row>
    <row r="2697" spans="13:28" s="308" customFormat="1" x14ac:dyDescent="0.2">
      <c r="M2697" s="309"/>
      <c r="AB2697" s="310"/>
    </row>
    <row r="2698" spans="13:28" s="308" customFormat="1" x14ac:dyDescent="0.2">
      <c r="M2698" s="309"/>
      <c r="AB2698" s="310"/>
    </row>
    <row r="2699" spans="13:28" s="308" customFormat="1" x14ac:dyDescent="0.2">
      <c r="M2699" s="309"/>
      <c r="AB2699" s="310"/>
    </row>
    <row r="2700" spans="13:28" s="308" customFormat="1" x14ac:dyDescent="0.2">
      <c r="M2700" s="309"/>
      <c r="AB2700" s="310"/>
    </row>
    <row r="2701" spans="13:28" s="308" customFormat="1" x14ac:dyDescent="0.2">
      <c r="M2701" s="309"/>
      <c r="AB2701" s="310"/>
    </row>
    <row r="2702" spans="13:28" s="308" customFormat="1" x14ac:dyDescent="0.2">
      <c r="M2702" s="309"/>
      <c r="AB2702" s="310"/>
    </row>
    <row r="2703" spans="13:28" s="308" customFormat="1" x14ac:dyDescent="0.2">
      <c r="M2703" s="309"/>
      <c r="AB2703" s="310"/>
    </row>
    <row r="2704" spans="13:28" s="308" customFormat="1" x14ac:dyDescent="0.2">
      <c r="M2704" s="309"/>
      <c r="AB2704" s="310"/>
    </row>
    <row r="2705" spans="13:28" s="308" customFormat="1" x14ac:dyDescent="0.2">
      <c r="M2705" s="309"/>
      <c r="AB2705" s="310"/>
    </row>
    <row r="2706" spans="13:28" s="308" customFormat="1" x14ac:dyDescent="0.2">
      <c r="M2706" s="309"/>
      <c r="AB2706" s="310"/>
    </row>
    <row r="2707" spans="13:28" s="308" customFormat="1" x14ac:dyDescent="0.2">
      <c r="M2707" s="309"/>
      <c r="AB2707" s="310"/>
    </row>
    <row r="2708" spans="13:28" s="308" customFormat="1" x14ac:dyDescent="0.2">
      <c r="M2708" s="309"/>
      <c r="AB2708" s="310"/>
    </row>
    <row r="2709" spans="13:28" s="308" customFormat="1" x14ac:dyDescent="0.2">
      <c r="M2709" s="309"/>
      <c r="AB2709" s="310"/>
    </row>
    <row r="2710" spans="13:28" s="308" customFormat="1" x14ac:dyDescent="0.2">
      <c r="M2710" s="309"/>
      <c r="AB2710" s="310"/>
    </row>
    <row r="2711" spans="13:28" s="308" customFormat="1" x14ac:dyDescent="0.2">
      <c r="M2711" s="309"/>
      <c r="AB2711" s="310"/>
    </row>
    <row r="2712" spans="13:28" s="308" customFormat="1" x14ac:dyDescent="0.2">
      <c r="M2712" s="309"/>
      <c r="AB2712" s="310"/>
    </row>
    <row r="2713" spans="13:28" s="308" customFormat="1" x14ac:dyDescent="0.2">
      <c r="M2713" s="309"/>
      <c r="AB2713" s="310"/>
    </row>
    <row r="2714" spans="13:28" s="308" customFormat="1" x14ac:dyDescent="0.2">
      <c r="M2714" s="309"/>
      <c r="AB2714" s="310"/>
    </row>
    <row r="2715" spans="13:28" s="308" customFormat="1" x14ac:dyDescent="0.2">
      <c r="M2715" s="309"/>
      <c r="AB2715" s="310"/>
    </row>
    <row r="2716" spans="13:28" s="308" customFormat="1" x14ac:dyDescent="0.2">
      <c r="M2716" s="309"/>
      <c r="AB2716" s="310"/>
    </row>
    <row r="2717" spans="13:28" s="308" customFormat="1" x14ac:dyDescent="0.2">
      <c r="M2717" s="309"/>
      <c r="AB2717" s="310"/>
    </row>
    <row r="2718" spans="13:28" s="308" customFormat="1" x14ac:dyDescent="0.2">
      <c r="M2718" s="309"/>
      <c r="AB2718" s="310"/>
    </row>
    <row r="2719" spans="13:28" s="308" customFormat="1" x14ac:dyDescent="0.2">
      <c r="M2719" s="309"/>
      <c r="AB2719" s="310"/>
    </row>
    <row r="2720" spans="13:28" s="308" customFormat="1" x14ac:dyDescent="0.2">
      <c r="M2720" s="309"/>
      <c r="AB2720" s="310"/>
    </row>
    <row r="2721" spans="13:28" s="308" customFormat="1" x14ac:dyDescent="0.2">
      <c r="M2721" s="309"/>
      <c r="AB2721" s="310"/>
    </row>
    <row r="2722" spans="13:28" s="308" customFormat="1" x14ac:dyDescent="0.2">
      <c r="M2722" s="309"/>
      <c r="AB2722" s="310"/>
    </row>
    <row r="2723" spans="13:28" s="308" customFormat="1" x14ac:dyDescent="0.2">
      <c r="M2723" s="309"/>
      <c r="AB2723" s="310"/>
    </row>
    <row r="2724" spans="13:28" s="308" customFormat="1" x14ac:dyDescent="0.2">
      <c r="M2724" s="309"/>
      <c r="AB2724" s="310"/>
    </row>
    <row r="2725" spans="13:28" s="308" customFormat="1" x14ac:dyDescent="0.2">
      <c r="M2725" s="309"/>
      <c r="AB2725" s="310"/>
    </row>
    <row r="2726" spans="13:28" s="308" customFormat="1" x14ac:dyDescent="0.2">
      <c r="M2726" s="309"/>
      <c r="AB2726" s="310"/>
    </row>
    <row r="2727" spans="13:28" s="308" customFormat="1" x14ac:dyDescent="0.2">
      <c r="M2727" s="309"/>
      <c r="AB2727" s="310"/>
    </row>
    <row r="2728" spans="13:28" s="308" customFormat="1" x14ac:dyDescent="0.2">
      <c r="M2728" s="309"/>
      <c r="AB2728" s="310"/>
    </row>
    <row r="2729" spans="13:28" s="308" customFormat="1" x14ac:dyDescent="0.2">
      <c r="M2729" s="309"/>
      <c r="AB2729" s="310"/>
    </row>
    <row r="2730" spans="13:28" s="308" customFormat="1" x14ac:dyDescent="0.2">
      <c r="M2730" s="309"/>
      <c r="AB2730" s="310"/>
    </row>
    <row r="2731" spans="13:28" s="308" customFormat="1" x14ac:dyDescent="0.2">
      <c r="M2731" s="309"/>
      <c r="AB2731" s="310"/>
    </row>
    <row r="2732" spans="13:28" s="308" customFormat="1" x14ac:dyDescent="0.2">
      <c r="M2732" s="309"/>
      <c r="AB2732" s="310"/>
    </row>
    <row r="2733" spans="13:28" s="308" customFormat="1" x14ac:dyDescent="0.2">
      <c r="M2733" s="309"/>
      <c r="AB2733" s="310"/>
    </row>
    <row r="2734" spans="13:28" s="308" customFormat="1" x14ac:dyDescent="0.2">
      <c r="M2734" s="309"/>
      <c r="AB2734" s="310"/>
    </row>
    <row r="2735" spans="13:28" s="308" customFormat="1" x14ac:dyDescent="0.2">
      <c r="M2735" s="309"/>
      <c r="AB2735" s="310"/>
    </row>
    <row r="2736" spans="13:28" s="308" customFormat="1" x14ac:dyDescent="0.2">
      <c r="M2736" s="309"/>
      <c r="AB2736" s="310"/>
    </row>
    <row r="2737" spans="13:28" s="308" customFormat="1" x14ac:dyDescent="0.2">
      <c r="M2737" s="309"/>
      <c r="AB2737" s="310"/>
    </row>
    <row r="2738" spans="13:28" s="308" customFormat="1" x14ac:dyDescent="0.2">
      <c r="M2738" s="309"/>
      <c r="AB2738" s="310"/>
    </row>
    <row r="2739" spans="13:28" s="308" customFormat="1" x14ac:dyDescent="0.2">
      <c r="M2739" s="309"/>
      <c r="AB2739" s="310"/>
    </row>
    <row r="2740" spans="13:28" s="308" customFormat="1" x14ac:dyDescent="0.2">
      <c r="M2740" s="309"/>
      <c r="AB2740" s="310"/>
    </row>
    <row r="2741" spans="13:28" s="308" customFormat="1" x14ac:dyDescent="0.2">
      <c r="M2741" s="309"/>
      <c r="AB2741" s="310"/>
    </row>
    <row r="2742" spans="13:28" s="308" customFormat="1" x14ac:dyDescent="0.2">
      <c r="M2742" s="309"/>
      <c r="AB2742" s="310"/>
    </row>
    <row r="2743" spans="13:28" s="308" customFormat="1" x14ac:dyDescent="0.2">
      <c r="M2743" s="309"/>
      <c r="AB2743" s="310"/>
    </row>
    <row r="2744" spans="13:28" s="308" customFormat="1" x14ac:dyDescent="0.2">
      <c r="M2744" s="309"/>
      <c r="AB2744" s="310"/>
    </row>
    <row r="2745" spans="13:28" s="308" customFormat="1" x14ac:dyDescent="0.2">
      <c r="M2745" s="309"/>
      <c r="AB2745" s="310"/>
    </row>
    <row r="2746" spans="13:28" s="308" customFormat="1" x14ac:dyDescent="0.2">
      <c r="M2746" s="309"/>
      <c r="AB2746" s="310"/>
    </row>
    <row r="2747" spans="13:28" s="308" customFormat="1" x14ac:dyDescent="0.2">
      <c r="M2747" s="309"/>
      <c r="AB2747" s="310"/>
    </row>
    <row r="2748" spans="13:28" s="308" customFormat="1" x14ac:dyDescent="0.2">
      <c r="M2748" s="309"/>
      <c r="AB2748" s="310"/>
    </row>
    <row r="2749" spans="13:28" s="308" customFormat="1" x14ac:dyDescent="0.2">
      <c r="M2749" s="309"/>
      <c r="AB2749" s="310"/>
    </row>
    <row r="2750" spans="13:28" s="308" customFormat="1" x14ac:dyDescent="0.2">
      <c r="M2750" s="309"/>
      <c r="AB2750" s="310"/>
    </row>
    <row r="2751" spans="13:28" s="308" customFormat="1" x14ac:dyDescent="0.2">
      <c r="M2751" s="309"/>
      <c r="AB2751" s="310"/>
    </row>
    <row r="2752" spans="13:28" s="308" customFormat="1" x14ac:dyDescent="0.2">
      <c r="M2752" s="309"/>
      <c r="AB2752" s="310"/>
    </row>
    <row r="2753" spans="13:28" s="308" customFormat="1" x14ac:dyDescent="0.2">
      <c r="M2753" s="309"/>
      <c r="AB2753" s="310"/>
    </row>
    <row r="2754" spans="13:28" s="308" customFormat="1" x14ac:dyDescent="0.2">
      <c r="M2754" s="309"/>
      <c r="AB2754" s="310"/>
    </row>
    <row r="2755" spans="13:28" s="308" customFormat="1" x14ac:dyDescent="0.2">
      <c r="M2755" s="309"/>
      <c r="AB2755" s="310"/>
    </row>
    <row r="2756" spans="13:28" s="308" customFormat="1" x14ac:dyDescent="0.2">
      <c r="M2756" s="309"/>
      <c r="AB2756" s="310"/>
    </row>
    <row r="2757" spans="13:28" s="308" customFormat="1" x14ac:dyDescent="0.2">
      <c r="M2757" s="309"/>
      <c r="AB2757" s="310"/>
    </row>
    <row r="2758" spans="13:28" s="308" customFormat="1" x14ac:dyDescent="0.2">
      <c r="M2758" s="309"/>
      <c r="AB2758" s="310"/>
    </row>
    <row r="2759" spans="13:28" s="308" customFormat="1" x14ac:dyDescent="0.2">
      <c r="M2759" s="309"/>
      <c r="AB2759" s="310"/>
    </row>
    <row r="2760" spans="13:28" s="308" customFormat="1" x14ac:dyDescent="0.2">
      <c r="M2760" s="309"/>
      <c r="AB2760" s="310"/>
    </row>
    <row r="2761" spans="13:28" s="308" customFormat="1" x14ac:dyDescent="0.2">
      <c r="M2761" s="309"/>
      <c r="AB2761" s="310"/>
    </row>
    <row r="2762" spans="13:28" s="308" customFormat="1" x14ac:dyDescent="0.2">
      <c r="M2762" s="309"/>
      <c r="AB2762" s="310"/>
    </row>
    <row r="2763" spans="13:28" s="308" customFormat="1" x14ac:dyDescent="0.2">
      <c r="M2763" s="309"/>
      <c r="AB2763" s="310"/>
    </row>
    <row r="2764" spans="13:28" s="308" customFormat="1" x14ac:dyDescent="0.2">
      <c r="M2764" s="309"/>
      <c r="AB2764" s="310"/>
    </row>
    <row r="2765" spans="13:28" s="308" customFormat="1" x14ac:dyDescent="0.2">
      <c r="M2765" s="309"/>
      <c r="AB2765" s="310"/>
    </row>
    <row r="2766" spans="13:28" s="308" customFormat="1" x14ac:dyDescent="0.2">
      <c r="M2766" s="309"/>
      <c r="AB2766" s="310"/>
    </row>
    <row r="2767" spans="13:28" s="308" customFormat="1" x14ac:dyDescent="0.2">
      <c r="M2767" s="309"/>
      <c r="AB2767" s="310"/>
    </row>
    <row r="2768" spans="13:28" s="308" customFormat="1" x14ac:dyDescent="0.2">
      <c r="M2768" s="309"/>
      <c r="AB2768" s="310"/>
    </row>
    <row r="2769" spans="13:28" s="308" customFormat="1" x14ac:dyDescent="0.2">
      <c r="M2769" s="309"/>
      <c r="AB2769" s="310"/>
    </row>
    <row r="2770" spans="13:28" s="308" customFormat="1" x14ac:dyDescent="0.2">
      <c r="M2770" s="309"/>
      <c r="AB2770" s="310"/>
    </row>
    <row r="2771" spans="13:28" s="308" customFormat="1" x14ac:dyDescent="0.2">
      <c r="M2771" s="309"/>
      <c r="AB2771" s="310"/>
    </row>
    <row r="2772" spans="13:28" s="308" customFormat="1" x14ac:dyDescent="0.2">
      <c r="M2772" s="309"/>
      <c r="AB2772" s="310"/>
    </row>
    <row r="2773" spans="13:28" s="308" customFormat="1" x14ac:dyDescent="0.2">
      <c r="M2773" s="309"/>
      <c r="AB2773" s="310"/>
    </row>
    <row r="2774" spans="13:28" s="308" customFormat="1" x14ac:dyDescent="0.2">
      <c r="M2774" s="309"/>
      <c r="AB2774" s="310"/>
    </row>
    <row r="2775" spans="13:28" s="308" customFormat="1" x14ac:dyDescent="0.2">
      <c r="M2775" s="309"/>
      <c r="AB2775" s="310"/>
    </row>
    <row r="2776" spans="13:28" s="308" customFormat="1" x14ac:dyDescent="0.2">
      <c r="M2776" s="309"/>
      <c r="AB2776" s="310"/>
    </row>
    <row r="2777" spans="13:28" s="308" customFormat="1" x14ac:dyDescent="0.2">
      <c r="M2777" s="309"/>
      <c r="AB2777" s="310"/>
    </row>
    <row r="2778" spans="13:28" s="308" customFormat="1" x14ac:dyDescent="0.2">
      <c r="M2778" s="309"/>
      <c r="AB2778" s="310"/>
    </row>
    <row r="2779" spans="13:28" s="308" customFormat="1" x14ac:dyDescent="0.2">
      <c r="M2779" s="309"/>
      <c r="AB2779" s="310"/>
    </row>
    <row r="2780" spans="13:28" s="308" customFormat="1" x14ac:dyDescent="0.2">
      <c r="M2780" s="309"/>
      <c r="AB2780" s="310"/>
    </row>
    <row r="2781" spans="13:28" s="308" customFormat="1" x14ac:dyDescent="0.2">
      <c r="M2781" s="309"/>
      <c r="AB2781" s="310"/>
    </row>
    <row r="2782" spans="13:28" s="308" customFormat="1" x14ac:dyDescent="0.2">
      <c r="M2782" s="309"/>
      <c r="AB2782" s="310"/>
    </row>
    <row r="2783" spans="13:28" s="308" customFormat="1" x14ac:dyDescent="0.2">
      <c r="M2783" s="309"/>
      <c r="AB2783" s="310"/>
    </row>
    <row r="2784" spans="13:28" s="308" customFormat="1" x14ac:dyDescent="0.2">
      <c r="M2784" s="309"/>
      <c r="AB2784" s="310"/>
    </row>
    <row r="2785" spans="13:28" s="308" customFormat="1" x14ac:dyDescent="0.2">
      <c r="M2785" s="309"/>
      <c r="AB2785" s="310"/>
    </row>
    <row r="2786" spans="13:28" s="308" customFormat="1" x14ac:dyDescent="0.2">
      <c r="M2786" s="309"/>
      <c r="AB2786" s="310"/>
    </row>
    <row r="2787" spans="13:28" s="308" customFormat="1" x14ac:dyDescent="0.2">
      <c r="M2787" s="309"/>
      <c r="AB2787" s="310"/>
    </row>
    <row r="2788" spans="13:28" s="308" customFormat="1" x14ac:dyDescent="0.2">
      <c r="M2788" s="309"/>
      <c r="AB2788" s="310"/>
    </row>
    <row r="2789" spans="13:28" s="308" customFormat="1" x14ac:dyDescent="0.2">
      <c r="M2789" s="309"/>
      <c r="AB2789" s="310"/>
    </row>
    <row r="2790" spans="13:28" s="308" customFormat="1" x14ac:dyDescent="0.2">
      <c r="M2790" s="309"/>
      <c r="AB2790" s="310"/>
    </row>
    <row r="2791" spans="13:28" s="308" customFormat="1" x14ac:dyDescent="0.2">
      <c r="M2791" s="309"/>
      <c r="AB2791" s="310"/>
    </row>
    <row r="2792" spans="13:28" s="308" customFormat="1" x14ac:dyDescent="0.2">
      <c r="M2792" s="309"/>
      <c r="AB2792" s="310"/>
    </row>
    <row r="2793" spans="13:28" s="308" customFormat="1" x14ac:dyDescent="0.2">
      <c r="M2793" s="309"/>
      <c r="AB2793" s="310"/>
    </row>
    <row r="2794" spans="13:28" s="308" customFormat="1" x14ac:dyDescent="0.2">
      <c r="M2794" s="309"/>
      <c r="AB2794" s="310"/>
    </row>
    <row r="2795" spans="13:28" s="308" customFormat="1" x14ac:dyDescent="0.2">
      <c r="M2795" s="309"/>
      <c r="AB2795" s="310"/>
    </row>
    <row r="2796" spans="13:28" s="308" customFormat="1" x14ac:dyDescent="0.2">
      <c r="M2796" s="309"/>
      <c r="AB2796" s="310"/>
    </row>
    <row r="2797" spans="13:28" s="308" customFormat="1" x14ac:dyDescent="0.2">
      <c r="M2797" s="309"/>
      <c r="AB2797" s="310"/>
    </row>
    <row r="2798" spans="13:28" s="308" customFormat="1" x14ac:dyDescent="0.2">
      <c r="M2798" s="309"/>
      <c r="AB2798" s="310"/>
    </row>
    <row r="2799" spans="13:28" s="308" customFormat="1" x14ac:dyDescent="0.2">
      <c r="M2799" s="309"/>
      <c r="AB2799" s="310"/>
    </row>
    <row r="2800" spans="13:28" s="308" customFormat="1" x14ac:dyDescent="0.2">
      <c r="M2800" s="309"/>
      <c r="AB2800" s="310"/>
    </row>
    <row r="2801" spans="13:28" s="308" customFormat="1" x14ac:dyDescent="0.2">
      <c r="M2801" s="309"/>
      <c r="AB2801" s="310"/>
    </row>
    <row r="2802" spans="13:28" s="308" customFormat="1" x14ac:dyDescent="0.2">
      <c r="M2802" s="309"/>
      <c r="AB2802" s="310"/>
    </row>
    <row r="2803" spans="13:28" s="308" customFormat="1" x14ac:dyDescent="0.2">
      <c r="M2803" s="309"/>
      <c r="AB2803" s="310"/>
    </row>
    <row r="2804" spans="13:28" s="308" customFormat="1" x14ac:dyDescent="0.2">
      <c r="M2804" s="309"/>
      <c r="AB2804" s="310"/>
    </row>
    <row r="2805" spans="13:28" s="308" customFormat="1" x14ac:dyDescent="0.2">
      <c r="M2805" s="309"/>
      <c r="AB2805" s="310"/>
    </row>
    <row r="2806" spans="13:28" s="308" customFormat="1" x14ac:dyDescent="0.2">
      <c r="M2806" s="309"/>
      <c r="AB2806" s="310"/>
    </row>
    <row r="2807" spans="13:28" s="308" customFormat="1" x14ac:dyDescent="0.2">
      <c r="M2807" s="309"/>
      <c r="AB2807" s="310"/>
    </row>
    <row r="2808" spans="13:28" s="308" customFormat="1" x14ac:dyDescent="0.2">
      <c r="M2808" s="309"/>
      <c r="AB2808" s="310"/>
    </row>
    <row r="2809" spans="13:28" s="308" customFormat="1" x14ac:dyDescent="0.2">
      <c r="M2809" s="309"/>
      <c r="AB2809" s="310"/>
    </row>
    <row r="2810" spans="13:28" s="308" customFormat="1" x14ac:dyDescent="0.2">
      <c r="M2810" s="309"/>
      <c r="AB2810" s="310"/>
    </row>
    <row r="2811" spans="13:28" s="308" customFormat="1" x14ac:dyDescent="0.2">
      <c r="M2811" s="309"/>
      <c r="AB2811" s="310"/>
    </row>
    <row r="2812" spans="13:28" s="308" customFormat="1" x14ac:dyDescent="0.2">
      <c r="M2812" s="309"/>
      <c r="AB2812" s="310"/>
    </row>
    <row r="2813" spans="13:28" s="308" customFormat="1" x14ac:dyDescent="0.2">
      <c r="M2813" s="309"/>
      <c r="AB2813" s="310"/>
    </row>
    <row r="2814" spans="13:28" s="308" customFormat="1" x14ac:dyDescent="0.2">
      <c r="M2814" s="309"/>
      <c r="AB2814" s="310"/>
    </row>
    <row r="2815" spans="13:28" s="308" customFormat="1" x14ac:dyDescent="0.2">
      <c r="M2815" s="309"/>
      <c r="AB2815" s="310"/>
    </row>
    <row r="2816" spans="13:28" s="308" customFormat="1" x14ac:dyDescent="0.2">
      <c r="M2816" s="309"/>
      <c r="AB2816" s="310"/>
    </row>
    <row r="2817" spans="13:28" s="308" customFormat="1" x14ac:dyDescent="0.2">
      <c r="M2817" s="309"/>
      <c r="AB2817" s="310"/>
    </row>
    <row r="2818" spans="13:28" s="308" customFormat="1" x14ac:dyDescent="0.2">
      <c r="M2818" s="309"/>
      <c r="AB2818" s="310"/>
    </row>
    <row r="2819" spans="13:28" s="308" customFormat="1" x14ac:dyDescent="0.2">
      <c r="M2819" s="309"/>
      <c r="AB2819" s="310"/>
    </row>
    <row r="2820" spans="13:28" s="308" customFormat="1" x14ac:dyDescent="0.2">
      <c r="M2820" s="309"/>
      <c r="AB2820" s="310"/>
    </row>
    <row r="2821" spans="13:28" s="308" customFormat="1" x14ac:dyDescent="0.2">
      <c r="M2821" s="309"/>
      <c r="AB2821" s="310"/>
    </row>
    <row r="2822" spans="13:28" s="308" customFormat="1" x14ac:dyDescent="0.2">
      <c r="M2822" s="309"/>
      <c r="AB2822" s="310"/>
    </row>
    <row r="2823" spans="13:28" s="308" customFormat="1" x14ac:dyDescent="0.2">
      <c r="M2823" s="309"/>
      <c r="AB2823" s="310"/>
    </row>
    <row r="2824" spans="13:28" s="308" customFormat="1" x14ac:dyDescent="0.2">
      <c r="M2824" s="309"/>
      <c r="AB2824" s="310"/>
    </row>
    <row r="2825" spans="13:28" s="308" customFormat="1" x14ac:dyDescent="0.2">
      <c r="M2825" s="309"/>
      <c r="AB2825" s="310"/>
    </row>
    <row r="2826" spans="13:28" s="308" customFormat="1" x14ac:dyDescent="0.2">
      <c r="M2826" s="309"/>
      <c r="AB2826" s="310"/>
    </row>
    <row r="2827" spans="13:28" s="308" customFormat="1" x14ac:dyDescent="0.2">
      <c r="M2827" s="309"/>
      <c r="AB2827" s="310"/>
    </row>
    <row r="2828" spans="13:28" s="308" customFormat="1" x14ac:dyDescent="0.2">
      <c r="M2828" s="309"/>
      <c r="AB2828" s="310"/>
    </row>
    <row r="2829" spans="13:28" s="308" customFormat="1" x14ac:dyDescent="0.2">
      <c r="M2829" s="309"/>
      <c r="AB2829" s="310"/>
    </row>
    <row r="2830" spans="13:28" s="308" customFormat="1" x14ac:dyDescent="0.2">
      <c r="M2830" s="309"/>
      <c r="AB2830" s="310"/>
    </row>
    <row r="2831" spans="13:28" s="308" customFormat="1" x14ac:dyDescent="0.2">
      <c r="M2831" s="309"/>
      <c r="AB2831" s="310"/>
    </row>
    <row r="2832" spans="13:28" s="308" customFormat="1" x14ac:dyDescent="0.2">
      <c r="M2832" s="309"/>
      <c r="AB2832" s="310"/>
    </row>
    <row r="2833" spans="13:28" s="308" customFormat="1" x14ac:dyDescent="0.2">
      <c r="M2833" s="309"/>
      <c r="AB2833" s="310"/>
    </row>
    <row r="2834" spans="13:28" s="308" customFormat="1" x14ac:dyDescent="0.2">
      <c r="M2834" s="309"/>
      <c r="AB2834" s="310"/>
    </row>
    <row r="2835" spans="13:28" s="308" customFormat="1" x14ac:dyDescent="0.2">
      <c r="M2835" s="309"/>
      <c r="AB2835" s="310"/>
    </row>
    <row r="2836" spans="13:28" s="308" customFormat="1" x14ac:dyDescent="0.2">
      <c r="M2836" s="309"/>
      <c r="AB2836" s="310"/>
    </row>
    <row r="2837" spans="13:28" s="308" customFormat="1" x14ac:dyDescent="0.2">
      <c r="M2837" s="309"/>
      <c r="AB2837" s="310"/>
    </row>
    <row r="2838" spans="13:28" s="308" customFormat="1" x14ac:dyDescent="0.2">
      <c r="M2838" s="309"/>
      <c r="AB2838" s="310"/>
    </row>
    <row r="2839" spans="13:28" s="308" customFormat="1" x14ac:dyDescent="0.2">
      <c r="M2839" s="309"/>
      <c r="AB2839" s="310"/>
    </row>
    <row r="2840" spans="13:28" s="308" customFormat="1" x14ac:dyDescent="0.2">
      <c r="M2840" s="309"/>
      <c r="AB2840" s="310"/>
    </row>
    <row r="2841" spans="13:28" s="308" customFormat="1" x14ac:dyDescent="0.2">
      <c r="M2841" s="309"/>
      <c r="AB2841" s="310"/>
    </row>
    <row r="2842" spans="13:28" s="308" customFormat="1" x14ac:dyDescent="0.2">
      <c r="M2842" s="309"/>
      <c r="AB2842" s="310"/>
    </row>
    <row r="2843" spans="13:28" s="308" customFormat="1" x14ac:dyDescent="0.2">
      <c r="M2843" s="309"/>
      <c r="AB2843" s="310"/>
    </row>
    <row r="2844" spans="13:28" s="308" customFormat="1" x14ac:dyDescent="0.2">
      <c r="M2844" s="309"/>
      <c r="AB2844" s="310"/>
    </row>
    <row r="2845" spans="13:28" s="308" customFormat="1" x14ac:dyDescent="0.2">
      <c r="M2845" s="309"/>
      <c r="AB2845" s="310"/>
    </row>
    <row r="2846" spans="13:28" s="308" customFormat="1" x14ac:dyDescent="0.2">
      <c r="M2846" s="309"/>
      <c r="AB2846" s="310"/>
    </row>
    <row r="2847" spans="13:28" s="308" customFormat="1" x14ac:dyDescent="0.2">
      <c r="M2847" s="309"/>
      <c r="AB2847" s="310"/>
    </row>
    <row r="2848" spans="13:28" s="308" customFormat="1" x14ac:dyDescent="0.2">
      <c r="M2848" s="309"/>
      <c r="AB2848" s="310"/>
    </row>
    <row r="2849" spans="13:28" s="308" customFormat="1" x14ac:dyDescent="0.2">
      <c r="M2849" s="309"/>
      <c r="AB2849" s="310"/>
    </row>
    <row r="2850" spans="13:28" s="308" customFormat="1" x14ac:dyDescent="0.2">
      <c r="M2850" s="309"/>
      <c r="AB2850" s="310"/>
    </row>
    <row r="2851" spans="13:28" s="308" customFormat="1" x14ac:dyDescent="0.2">
      <c r="M2851" s="309"/>
      <c r="AB2851" s="310"/>
    </row>
    <row r="2852" spans="13:28" s="308" customFormat="1" x14ac:dyDescent="0.2">
      <c r="M2852" s="309"/>
      <c r="AB2852" s="310"/>
    </row>
    <row r="2853" spans="13:28" s="308" customFormat="1" x14ac:dyDescent="0.2">
      <c r="M2853" s="309"/>
      <c r="AB2853" s="310"/>
    </row>
    <row r="2854" spans="13:28" s="308" customFormat="1" x14ac:dyDescent="0.2">
      <c r="M2854" s="309"/>
      <c r="AB2854" s="310"/>
    </row>
    <row r="2855" spans="13:28" s="308" customFormat="1" x14ac:dyDescent="0.2">
      <c r="M2855" s="309"/>
      <c r="AB2855" s="310"/>
    </row>
    <row r="2856" spans="13:28" s="308" customFormat="1" x14ac:dyDescent="0.2">
      <c r="M2856" s="309"/>
      <c r="AB2856" s="310"/>
    </row>
    <row r="2857" spans="13:28" s="308" customFormat="1" x14ac:dyDescent="0.2">
      <c r="M2857" s="309"/>
      <c r="AB2857" s="310"/>
    </row>
    <row r="2858" spans="13:28" s="308" customFormat="1" x14ac:dyDescent="0.2">
      <c r="M2858" s="309"/>
      <c r="AB2858" s="310"/>
    </row>
    <row r="2859" spans="13:28" s="308" customFormat="1" x14ac:dyDescent="0.2">
      <c r="M2859" s="309"/>
      <c r="AB2859" s="310"/>
    </row>
    <row r="2860" spans="13:28" s="308" customFormat="1" x14ac:dyDescent="0.2">
      <c r="M2860" s="309"/>
      <c r="AB2860" s="310"/>
    </row>
    <row r="2861" spans="13:28" s="308" customFormat="1" x14ac:dyDescent="0.2">
      <c r="M2861" s="309"/>
      <c r="AB2861" s="310"/>
    </row>
    <row r="2862" spans="13:28" s="308" customFormat="1" x14ac:dyDescent="0.2">
      <c r="M2862" s="309"/>
      <c r="AB2862" s="310"/>
    </row>
    <row r="2863" spans="13:28" s="308" customFormat="1" x14ac:dyDescent="0.2">
      <c r="M2863" s="309"/>
      <c r="AB2863" s="310"/>
    </row>
    <row r="2864" spans="13:28" s="308" customFormat="1" x14ac:dyDescent="0.2">
      <c r="M2864" s="309"/>
      <c r="AB2864" s="310"/>
    </row>
    <row r="2865" spans="13:28" s="308" customFormat="1" x14ac:dyDescent="0.2">
      <c r="M2865" s="309"/>
      <c r="AB2865" s="310"/>
    </row>
    <row r="2866" spans="13:28" s="308" customFormat="1" x14ac:dyDescent="0.2">
      <c r="M2866" s="309"/>
      <c r="AB2866" s="310"/>
    </row>
    <row r="2867" spans="13:28" s="308" customFormat="1" x14ac:dyDescent="0.2">
      <c r="M2867" s="309"/>
      <c r="AB2867" s="310"/>
    </row>
    <row r="2868" spans="13:28" s="308" customFormat="1" x14ac:dyDescent="0.2">
      <c r="M2868" s="309"/>
      <c r="AB2868" s="310"/>
    </row>
    <row r="2869" spans="13:28" s="308" customFormat="1" x14ac:dyDescent="0.2">
      <c r="M2869" s="309"/>
      <c r="AB2869" s="310"/>
    </row>
    <row r="2870" spans="13:28" s="308" customFormat="1" x14ac:dyDescent="0.2">
      <c r="M2870" s="309"/>
      <c r="AB2870" s="310"/>
    </row>
    <row r="2871" spans="13:28" s="308" customFormat="1" x14ac:dyDescent="0.2">
      <c r="M2871" s="309"/>
      <c r="AB2871" s="310"/>
    </row>
    <row r="2872" spans="13:28" s="308" customFormat="1" x14ac:dyDescent="0.2">
      <c r="M2872" s="309"/>
      <c r="AB2872" s="310"/>
    </row>
    <row r="2873" spans="13:28" s="308" customFormat="1" x14ac:dyDescent="0.2">
      <c r="M2873" s="309"/>
      <c r="AB2873" s="310"/>
    </row>
    <row r="2874" spans="13:28" s="308" customFormat="1" x14ac:dyDescent="0.2">
      <c r="M2874" s="309"/>
      <c r="AB2874" s="310"/>
    </row>
    <row r="2875" spans="13:28" s="308" customFormat="1" x14ac:dyDescent="0.2">
      <c r="M2875" s="309"/>
      <c r="AB2875" s="310"/>
    </row>
    <row r="2876" spans="13:28" s="308" customFormat="1" x14ac:dyDescent="0.2">
      <c r="M2876" s="309"/>
      <c r="AB2876" s="310"/>
    </row>
    <row r="2877" spans="13:28" s="308" customFormat="1" x14ac:dyDescent="0.2">
      <c r="M2877" s="309"/>
      <c r="AB2877" s="310"/>
    </row>
    <row r="2878" spans="13:28" s="308" customFormat="1" x14ac:dyDescent="0.2">
      <c r="M2878" s="309"/>
      <c r="AB2878" s="310"/>
    </row>
    <row r="2879" spans="13:28" s="308" customFormat="1" x14ac:dyDescent="0.2">
      <c r="M2879" s="309"/>
      <c r="AB2879" s="310"/>
    </row>
    <row r="2880" spans="13:28" s="308" customFormat="1" x14ac:dyDescent="0.2">
      <c r="M2880" s="309"/>
      <c r="AB2880" s="310"/>
    </row>
    <row r="2881" spans="13:28" s="308" customFormat="1" x14ac:dyDescent="0.2">
      <c r="M2881" s="309"/>
      <c r="AB2881" s="310"/>
    </row>
    <row r="2882" spans="13:28" s="308" customFormat="1" x14ac:dyDescent="0.2">
      <c r="M2882" s="309"/>
      <c r="AB2882" s="310"/>
    </row>
    <row r="2883" spans="13:28" s="308" customFormat="1" x14ac:dyDescent="0.2">
      <c r="M2883" s="309"/>
      <c r="AB2883" s="310"/>
    </row>
    <row r="2884" spans="13:28" s="308" customFormat="1" x14ac:dyDescent="0.2">
      <c r="M2884" s="309"/>
      <c r="AB2884" s="310"/>
    </row>
    <row r="2885" spans="13:28" s="308" customFormat="1" x14ac:dyDescent="0.2">
      <c r="M2885" s="309"/>
      <c r="AB2885" s="310"/>
    </row>
    <row r="2886" spans="13:28" s="308" customFormat="1" x14ac:dyDescent="0.2">
      <c r="M2886" s="309"/>
      <c r="AB2886" s="310"/>
    </row>
    <row r="2887" spans="13:28" s="308" customFormat="1" x14ac:dyDescent="0.2">
      <c r="M2887" s="309"/>
      <c r="AB2887" s="310"/>
    </row>
    <row r="2888" spans="13:28" s="308" customFormat="1" x14ac:dyDescent="0.2">
      <c r="M2888" s="309"/>
      <c r="AB2888" s="310"/>
    </row>
    <row r="2889" spans="13:28" s="308" customFormat="1" x14ac:dyDescent="0.2">
      <c r="M2889" s="309"/>
      <c r="AB2889" s="310"/>
    </row>
    <row r="2890" spans="13:28" s="308" customFormat="1" x14ac:dyDescent="0.2">
      <c r="M2890" s="309"/>
      <c r="AB2890" s="310"/>
    </row>
    <row r="2891" spans="13:28" s="308" customFormat="1" x14ac:dyDescent="0.2">
      <c r="M2891" s="309"/>
      <c r="AB2891" s="310"/>
    </row>
    <row r="2892" spans="13:28" s="308" customFormat="1" x14ac:dyDescent="0.2">
      <c r="M2892" s="309"/>
      <c r="AB2892" s="310"/>
    </row>
    <row r="2893" spans="13:28" s="308" customFormat="1" x14ac:dyDescent="0.2">
      <c r="M2893" s="309"/>
      <c r="AB2893" s="310"/>
    </row>
    <row r="2894" spans="13:28" s="308" customFormat="1" x14ac:dyDescent="0.2">
      <c r="M2894" s="309"/>
      <c r="AB2894" s="310"/>
    </row>
    <row r="2895" spans="13:28" s="308" customFormat="1" x14ac:dyDescent="0.2">
      <c r="M2895" s="309"/>
      <c r="AB2895" s="310"/>
    </row>
    <row r="2896" spans="13:28" s="308" customFormat="1" x14ac:dyDescent="0.2">
      <c r="M2896" s="309"/>
      <c r="AB2896" s="310"/>
    </row>
    <row r="2897" spans="13:28" s="308" customFormat="1" x14ac:dyDescent="0.2">
      <c r="M2897" s="309"/>
      <c r="AB2897" s="310"/>
    </row>
    <row r="2898" spans="13:28" s="308" customFormat="1" x14ac:dyDescent="0.2">
      <c r="M2898" s="309"/>
      <c r="AB2898" s="310"/>
    </row>
    <row r="2899" spans="13:28" s="308" customFormat="1" x14ac:dyDescent="0.2">
      <c r="M2899" s="309"/>
      <c r="AB2899" s="310"/>
    </row>
    <row r="2900" spans="13:28" s="308" customFormat="1" x14ac:dyDescent="0.2">
      <c r="M2900" s="309"/>
      <c r="AB2900" s="310"/>
    </row>
    <row r="2901" spans="13:28" s="308" customFormat="1" x14ac:dyDescent="0.2">
      <c r="M2901" s="309"/>
      <c r="AB2901" s="310"/>
    </row>
    <row r="2902" spans="13:28" s="308" customFormat="1" x14ac:dyDescent="0.2">
      <c r="M2902" s="309"/>
      <c r="AB2902" s="310"/>
    </row>
    <row r="2903" spans="13:28" s="308" customFormat="1" x14ac:dyDescent="0.2">
      <c r="M2903" s="309"/>
      <c r="AB2903" s="310"/>
    </row>
    <row r="2904" spans="13:28" s="308" customFormat="1" x14ac:dyDescent="0.2">
      <c r="M2904" s="309"/>
      <c r="AB2904" s="310"/>
    </row>
    <row r="2905" spans="13:28" s="308" customFormat="1" x14ac:dyDescent="0.2">
      <c r="M2905" s="309"/>
      <c r="AB2905" s="310"/>
    </row>
    <row r="2906" spans="13:28" s="308" customFormat="1" x14ac:dyDescent="0.2">
      <c r="M2906" s="309"/>
      <c r="AB2906" s="310"/>
    </row>
    <row r="2907" spans="13:28" s="308" customFormat="1" x14ac:dyDescent="0.2">
      <c r="M2907" s="309"/>
      <c r="AB2907" s="310"/>
    </row>
    <row r="2908" spans="13:28" s="308" customFormat="1" x14ac:dyDescent="0.2">
      <c r="M2908" s="309"/>
      <c r="AB2908" s="310"/>
    </row>
    <row r="2909" spans="13:28" s="308" customFormat="1" x14ac:dyDescent="0.2">
      <c r="M2909" s="309"/>
      <c r="AB2909" s="310"/>
    </row>
    <row r="2910" spans="13:28" s="308" customFormat="1" x14ac:dyDescent="0.2">
      <c r="M2910" s="309"/>
      <c r="AB2910" s="310"/>
    </row>
    <row r="2911" spans="13:28" s="308" customFormat="1" x14ac:dyDescent="0.2">
      <c r="M2911" s="309"/>
      <c r="AB2911" s="310"/>
    </row>
    <row r="2912" spans="13:28" s="308" customFormat="1" x14ac:dyDescent="0.2">
      <c r="M2912" s="309"/>
      <c r="AB2912" s="310"/>
    </row>
    <row r="2913" spans="13:28" s="308" customFormat="1" x14ac:dyDescent="0.2">
      <c r="M2913" s="309"/>
      <c r="AB2913" s="310"/>
    </row>
    <row r="2914" spans="13:28" s="308" customFormat="1" x14ac:dyDescent="0.2">
      <c r="M2914" s="309"/>
      <c r="AB2914" s="310"/>
    </row>
    <row r="2915" spans="13:28" s="308" customFormat="1" x14ac:dyDescent="0.2">
      <c r="M2915" s="309"/>
      <c r="AB2915" s="310"/>
    </row>
    <row r="2916" spans="13:28" s="308" customFormat="1" x14ac:dyDescent="0.2">
      <c r="M2916" s="309"/>
      <c r="AB2916" s="310"/>
    </row>
    <row r="2917" spans="13:28" s="308" customFormat="1" x14ac:dyDescent="0.2">
      <c r="M2917" s="309"/>
      <c r="AB2917" s="310"/>
    </row>
    <row r="2918" spans="13:28" s="308" customFormat="1" x14ac:dyDescent="0.2">
      <c r="M2918" s="309"/>
      <c r="AB2918" s="310"/>
    </row>
    <row r="2919" spans="13:28" s="308" customFormat="1" x14ac:dyDescent="0.2">
      <c r="M2919" s="309"/>
      <c r="AB2919" s="310"/>
    </row>
    <row r="2920" spans="13:28" s="308" customFormat="1" x14ac:dyDescent="0.2">
      <c r="M2920" s="309"/>
      <c r="AB2920" s="310"/>
    </row>
    <row r="2921" spans="13:28" s="308" customFormat="1" x14ac:dyDescent="0.2">
      <c r="M2921" s="309"/>
      <c r="AB2921" s="310"/>
    </row>
    <row r="2922" spans="13:28" s="308" customFormat="1" x14ac:dyDescent="0.2">
      <c r="M2922" s="309"/>
      <c r="AB2922" s="310"/>
    </row>
    <row r="2923" spans="13:28" s="308" customFormat="1" x14ac:dyDescent="0.2">
      <c r="M2923" s="309"/>
      <c r="AB2923" s="310"/>
    </row>
    <row r="2924" spans="13:28" s="308" customFormat="1" x14ac:dyDescent="0.2">
      <c r="M2924" s="309"/>
      <c r="AB2924" s="310"/>
    </row>
    <row r="2925" spans="13:28" s="308" customFormat="1" x14ac:dyDescent="0.2">
      <c r="M2925" s="309"/>
      <c r="AB2925" s="310"/>
    </row>
    <row r="2926" spans="13:28" s="308" customFormat="1" x14ac:dyDescent="0.2">
      <c r="M2926" s="309"/>
      <c r="AB2926" s="310"/>
    </row>
    <row r="2927" spans="13:28" s="308" customFormat="1" x14ac:dyDescent="0.2">
      <c r="M2927" s="309"/>
      <c r="AB2927" s="310"/>
    </row>
    <row r="2928" spans="13:28" s="308" customFormat="1" x14ac:dyDescent="0.2">
      <c r="M2928" s="309"/>
      <c r="AB2928" s="310"/>
    </row>
    <row r="2929" spans="13:28" s="308" customFormat="1" x14ac:dyDescent="0.2">
      <c r="M2929" s="309"/>
      <c r="AB2929" s="310"/>
    </row>
    <row r="2930" spans="13:28" s="308" customFormat="1" x14ac:dyDescent="0.2">
      <c r="M2930" s="309"/>
      <c r="AB2930" s="310"/>
    </row>
    <row r="2931" spans="13:28" s="308" customFormat="1" x14ac:dyDescent="0.2">
      <c r="M2931" s="309"/>
      <c r="AB2931" s="310"/>
    </row>
    <row r="2932" spans="13:28" s="308" customFormat="1" x14ac:dyDescent="0.2">
      <c r="M2932" s="309"/>
      <c r="AB2932" s="310"/>
    </row>
    <row r="2933" spans="13:28" s="308" customFormat="1" x14ac:dyDescent="0.2">
      <c r="M2933" s="309"/>
      <c r="AB2933" s="310"/>
    </row>
    <row r="2934" spans="13:28" s="308" customFormat="1" x14ac:dyDescent="0.2">
      <c r="M2934" s="309"/>
      <c r="AB2934" s="310"/>
    </row>
    <row r="2935" spans="13:28" s="308" customFormat="1" x14ac:dyDescent="0.2">
      <c r="M2935" s="309"/>
      <c r="AB2935" s="310"/>
    </row>
    <row r="2936" spans="13:28" s="308" customFormat="1" x14ac:dyDescent="0.2">
      <c r="M2936" s="309"/>
      <c r="AB2936" s="310"/>
    </row>
    <row r="2937" spans="13:28" s="308" customFormat="1" x14ac:dyDescent="0.2">
      <c r="M2937" s="309"/>
      <c r="AB2937" s="310"/>
    </row>
    <row r="2938" spans="13:28" s="308" customFormat="1" x14ac:dyDescent="0.2">
      <c r="M2938" s="309"/>
      <c r="AB2938" s="310"/>
    </row>
    <row r="2939" spans="13:28" s="308" customFormat="1" x14ac:dyDescent="0.2">
      <c r="M2939" s="309"/>
      <c r="AB2939" s="310"/>
    </row>
    <row r="2940" spans="13:28" s="308" customFormat="1" x14ac:dyDescent="0.2">
      <c r="M2940" s="309"/>
      <c r="AB2940" s="310"/>
    </row>
    <row r="2941" spans="13:28" s="308" customFormat="1" x14ac:dyDescent="0.2">
      <c r="M2941" s="309"/>
      <c r="AB2941" s="310"/>
    </row>
    <row r="2942" spans="13:28" s="308" customFormat="1" x14ac:dyDescent="0.2">
      <c r="M2942" s="309"/>
      <c r="AB2942" s="310"/>
    </row>
    <row r="2943" spans="13:28" s="308" customFormat="1" x14ac:dyDescent="0.2">
      <c r="M2943" s="309"/>
      <c r="AB2943" s="310"/>
    </row>
    <row r="2944" spans="13:28" s="308" customFormat="1" x14ac:dyDescent="0.2">
      <c r="M2944" s="309"/>
      <c r="AB2944" s="310"/>
    </row>
    <row r="2945" spans="13:28" s="308" customFormat="1" x14ac:dyDescent="0.2">
      <c r="M2945" s="309"/>
      <c r="AB2945" s="310"/>
    </row>
    <row r="2946" spans="13:28" s="308" customFormat="1" x14ac:dyDescent="0.2">
      <c r="M2946" s="309"/>
      <c r="AB2946" s="310"/>
    </row>
    <row r="2947" spans="13:28" s="308" customFormat="1" x14ac:dyDescent="0.2">
      <c r="M2947" s="309"/>
      <c r="AB2947" s="310"/>
    </row>
    <row r="2948" spans="13:28" s="308" customFormat="1" x14ac:dyDescent="0.2">
      <c r="M2948" s="309"/>
      <c r="AB2948" s="310"/>
    </row>
    <row r="2949" spans="13:28" s="308" customFormat="1" x14ac:dyDescent="0.2">
      <c r="M2949" s="309"/>
      <c r="AB2949" s="310"/>
    </row>
    <row r="2950" spans="13:28" s="308" customFormat="1" x14ac:dyDescent="0.2">
      <c r="M2950" s="309"/>
      <c r="AB2950" s="310"/>
    </row>
    <row r="2951" spans="13:28" s="308" customFormat="1" x14ac:dyDescent="0.2">
      <c r="M2951" s="309"/>
      <c r="AB2951" s="310"/>
    </row>
    <row r="2952" spans="13:28" s="308" customFormat="1" x14ac:dyDescent="0.2">
      <c r="M2952" s="309"/>
      <c r="AB2952" s="310"/>
    </row>
    <row r="2953" spans="13:28" s="308" customFormat="1" x14ac:dyDescent="0.2">
      <c r="M2953" s="309"/>
      <c r="AB2953" s="310"/>
    </row>
    <row r="2954" spans="13:28" s="308" customFormat="1" x14ac:dyDescent="0.2">
      <c r="M2954" s="309"/>
      <c r="AB2954" s="310"/>
    </row>
    <row r="2955" spans="13:28" s="308" customFormat="1" x14ac:dyDescent="0.2">
      <c r="M2955" s="309"/>
      <c r="AB2955" s="310"/>
    </row>
    <row r="2956" spans="13:28" s="308" customFormat="1" x14ac:dyDescent="0.2">
      <c r="M2956" s="309"/>
      <c r="AB2956" s="310"/>
    </row>
    <row r="2957" spans="13:28" s="308" customFormat="1" x14ac:dyDescent="0.2">
      <c r="M2957" s="309"/>
      <c r="AB2957" s="310"/>
    </row>
    <row r="2958" spans="13:28" s="308" customFormat="1" x14ac:dyDescent="0.2">
      <c r="M2958" s="309"/>
      <c r="AB2958" s="310"/>
    </row>
    <row r="2959" spans="13:28" s="308" customFormat="1" x14ac:dyDescent="0.2">
      <c r="M2959" s="309"/>
      <c r="AB2959" s="310"/>
    </row>
    <row r="2960" spans="13:28" s="308" customFormat="1" x14ac:dyDescent="0.2">
      <c r="M2960" s="309"/>
      <c r="AB2960" s="310"/>
    </row>
    <row r="2961" spans="13:28" s="308" customFormat="1" x14ac:dyDescent="0.2">
      <c r="M2961" s="309"/>
      <c r="AB2961" s="310"/>
    </row>
    <row r="2962" spans="13:28" s="308" customFormat="1" x14ac:dyDescent="0.2">
      <c r="M2962" s="309"/>
      <c r="AB2962" s="310"/>
    </row>
    <row r="2963" spans="13:28" s="308" customFormat="1" x14ac:dyDescent="0.2">
      <c r="M2963" s="309"/>
      <c r="AB2963" s="310"/>
    </row>
    <row r="2964" spans="13:28" s="308" customFormat="1" x14ac:dyDescent="0.2">
      <c r="M2964" s="309"/>
      <c r="AB2964" s="310"/>
    </row>
    <row r="2965" spans="13:28" s="308" customFormat="1" x14ac:dyDescent="0.2">
      <c r="M2965" s="309"/>
      <c r="AB2965" s="310"/>
    </row>
    <row r="2966" spans="13:28" s="308" customFormat="1" x14ac:dyDescent="0.2">
      <c r="M2966" s="309"/>
      <c r="AB2966" s="310"/>
    </row>
    <row r="2967" spans="13:28" s="308" customFormat="1" x14ac:dyDescent="0.2">
      <c r="M2967" s="309"/>
      <c r="AB2967" s="310"/>
    </row>
    <row r="2968" spans="13:28" s="308" customFormat="1" x14ac:dyDescent="0.2">
      <c r="M2968" s="309"/>
      <c r="AB2968" s="310"/>
    </row>
    <row r="2969" spans="13:28" s="308" customFormat="1" x14ac:dyDescent="0.2">
      <c r="M2969" s="309"/>
      <c r="AB2969" s="310"/>
    </row>
    <row r="2970" spans="13:28" s="308" customFormat="1" x14ac:dyDescent="0.2">
      <c r="M2970" s="309"/>
      <c r="AB2970" s="310"/>
    </row>
    <row r="2971" spans="13:28" s="308" customFormat="1" x14ac:dyDescent="0.2">
      <c r="M2971" s="309"/>
      <c r="AB2971" s="310"/>
    </row>
    <row r="2972" spans="13:28" s="308" customFormat="1" x14ac:dyDescent="0.2">
      <c r="M2972" s="309"/>
      <c r="AB2972" s="310"/>
    </row>
    <row r="2973" spans="13:28" s="308" customFormat="1" x14ac:dyDescent="0.2">
      <c r="M2973" s="309"/>
      <c r="AB2973" s="310"/>
    </row>
    <row r="2974" spans="13:28" s="308" customFormat="1" x14ac:dyDescent="0.2">
      <c r="M2974" s="309"/>
      <c r="AB2974" s="310"/>
    </row>
    <row r="2975" spans="13:28" s="308" customFormat="1" x14ac:dyDescent="0.2">
      <c r="M2975" s="309"/>
      <c r="AB2975" s="310"/>
    </row>
    <row r="2976" spans="13:28" s="308" customFormat="1" x14ac:dyDescent="0.2">
      <c r="M2976" s="309"/>
      <c r="AB2976" s="310"/>
    </row>
    <row r="2977" spans="13:28" s="308" customFormat="1" x14ac:dyDescent="0.2">
      <c r="M2977" s="309"/>
      <c r="AB2977" s="310"/>
    </row>
    <row r="2978" spans="13:28" s="308" customFormat="1" x14ac:dyDescent="0.2">
      <c r="M2978" s="309"/>
      <c r="AB2978" s="310"/>
    </row>
    <row r="2979" spans="13:28" s="308" customFormat="1" x14ac:dyDescent="0.2">
      <c r="M2979" s="309"/>
      <c r="AB2979" s="310"/>
    </row>
    <row r="2980" spans="13:28" s="308" customFormat="1" x14ac:dyDescent="0.2">
      <c r="M2980" s="309"/>
      <c r="AB2980" s="310"/>
    </row>
    <row r="2981" spans="13:28" s="308" customFormat="1" x14ac:dyDescent="0.2">
      <c r="M2981" s="309"/>
      <c r="AB2981" s="310"/>
    </row>
    <row r="2982" spans="13:28" s="308" customFormat="1" x14ac:dyDescent="0.2">
      <c r="M2982" s="309"/>
      <c r="AB2982" s="310"/>
    </row>
    <row r="2983" spans="13:28" s="308" customFormat="1" x14ac:dyDescent="0.2">
      <c r="M2983" s="309"/>
      <c r="AB2983" s="310"/>
    </row>
    <row r="2984" spans="13:28" s="308" customFormat="1" x14ac:dyDescent="0.2">
      <c r="M2984" s="309"/>
      <c r="AB2984" s="310"/>
    </row>
    <row r="2985" spans="13:28" s="308" customFormat="1" x14ac:dyDescent="0.2">
      <c r="M2985" s="309"/>
      <c r="AB2985" s="310"/>
    </row>
    <row r="2986" spans="13:28" s="308" customFormat="1" x14ac:dyDescent="0.2">
      <c r="M2986" s="309"/>
      <c r="AB2986" s="310"/>
    </row>
    <row r="2987" spans="13:28" s="308" customFormat="1" x14ac:dyDescent="0.2">
      <c r="M2987" s="309"/>
      <c r="AB2987" s="310"/>
    </row>
    <row r="2988" spans="13:28" s="308" customFormat="1" x14ac:dyDescent="0.2">
      <c r="M2988" s="309"/>
      <c r="AB2988" s="310"/>
    </row>
    <row r="2989" spans="13:28" s="308" customFormat="1" x14ac:dyDescent="0.2">
      <c r="M2989" s="309"/>
      <c r="AB2989" s="310"/>
    </row>
    <row r="2990" spans="13:28" s="308" customFormat="1" x14ac:dyDescent="0.2">
      <c r="M2990" s="309"/>
      <c r="AB2990" s="310"/>
    </row>
    <row r="2991" spans="13:28" s="308" customFormat="1" x14ac:dyDescent="0.2">
      <c r="M2991" s="309"/>
      <c r="AB2991" s="310"/>
    </row>
    <row r="2992" spans="13:28" s="308" customFormat="1" x14ac:dyDescent="0.2">
      <c r="M2992" s="309"/>
      <c r="AB2992" s="310"/>
    </row>
    <row r="2993" spans="13:28" s="308" customFormat="1" x14ac:dyDescent="0.2">
      <c r="M2993" s="309"/>
      <c r="AB2993" s="310"/>
    </row>
    <row r="2994" spans="13:28" s="308" customFormat="1" x14ac:dyDescent="0.2">
      <c r="M2994" s="309"/>
      <c r="AB2994" s="310"/>
    </row>
    <row r="2995" spans="13:28" s="308" customFormat="1" x14ac:dyDescent="0.2">
      <c r="M2995" s="309"/>
      <c r="AB2995" s="310"/>
    </row>
    <row r="2996" spans="13:28" s="308" customFormat="1" x14ac:dyDescent="0.2">
      <c r="M2996" s="309"/>
      <c r="AB2996" s="310"/>
    </row>
    <row r="2997" spans="13:28" s="308" customFormat="1" x14ac:dyDescent="0.2">
      <c r="M2997" s="309"/>
      <c r="AB2997" s="310"/>
    </row>
    <row r="2998" spans="13:28" s="308" customFormat="1" x14ac:dyDescent="0.2">
      <c r="M2998" s="309"/>
      <c r="AB2998" s="310"/>
    </row>
    <row r="2999" spans="13:28" s="308" customFormat="1" x14ac:dyDescent="0.2">
      <c r="M2999" s="309"/>
      <c r="AB2999" s="310"/>
    </row>
    <row r="3000" spans="13:28" s="308" customFormat="1" x14ac:dyDescent="0.2">
      <c r="M3000" s="309"/>
      <c r="AB3000" s="310"/>
    </row>
    <row r="3001" spans="13:28" s="308" customFormat="1" x14ac:dyDescent="0.2">
      <c r="M3001" s="309"/>
      <c r="AB3001" s="310"/>
    </row>
    <row r="3002" spans="13:28" s="308" customFormat="1" x14ac:dyDescent="0.2">
      <c r="M3002" s="309"/>
      <c r="AB3002" s="310"/>
    </row>
    <row r="3003" spans="13:28" s="308" customFormat="1" x14ac:dyDescent="0.2">
      <c r="M3003" s="309"/>
      <c r="AB3003" s="310"/>
    </row>
    <row r="3004" spans="13:28" s="308" customFormat="1" x14ac:dyDescent="0.2">
      <c r="M3004" s="309"/>
      <c r="AB3004" s="310"/>
    </row>
    <row r="3005" spans="13:28" s="308" customFormat="1" x14ac:dyDescent="0.2">
      <c r="M3005" s="309"/>
      <c r="AB3005" s="310"/>
    </row>
    <row r="3006" spans="13:28" s="308" customFormat="1" x14ac:dyDescent="0.2">
      <c r="M3006" s="309"/>
      <c r="AB3006" s="310"/>
    </row>
    <row r="3007" spans="13:28" s="308" customFormat="1" x14ac:dyDescent="0.2">
      <c r="M3007" s="309"/>
      <c r="AB3007" s="310"/>
    </row>
    <row r="3008" spans="13:28" s="308" customFormat="1" x14ac:dyDescent="0.2">
      <c r="M3008" s="309"/>
      <c r="AB3008" s="310"/>
    </row>
    <row r="3009" spans="13:28" s="308" customFormat="1" x14ac:dyDescent="0.2">
      <c r="M3009" s="309"/>
      <c r="AB3009" s="310"/>
    </row>
    <row r="3010" spans="13:28" s="308" customFormat="1" x14ac:dyDescent="0.2">
      <c r="M3010" s="309"/>
      <c r="AB3010" s="310"/>
    </row>
    <row r="3011" spans="13:28" s="308" customFormat="1" x14ac:dyDescent="0.2">
      <c r="M3011" s="309"/>
      <c r="AB3011" s="310"/>
    </row>
    <row r="3012" spans="13:28" s="308" customFormat="1" x14ac:dyDescent="0.2">
      <c r="M3012" s="309"/>
      <c r="AB3012" s="310"/>
    </row>
    <row r="3013" spans="13:28" s="308" customFormat="1" x14ac:dyDescent="0.2">
      <c r="M3013" s="309"/>
      <c r="AB3013" s="310"/>
    </row>
    <row r="3014" spans="13:28" s="308" customFormat="1" x14ac:dyDescent="0.2">
      <c r="M3014" s="309"/>
      <c r="AB3014" s="310"/>
    </row>
    <row r="3015" spans="13:28" s="308" customFormat="1" x14ac:dyDescent="0.2">
      <c r="M3015" s="309"/>
      <c r="AB3015" s="310"/>
    </row>
    <row r="3016" spans="13:28" s="308" customFormat="1" x14ac:dyDescent="0.2">
      <c r="M3016" s="309"/>
      <c r="AB3016" s="310"/>
    </row>
    <row r="3017" spans="13:28" s="308" customFormat="1" x14ac:dyDescent="0.2">
      <c r="M3017" s="309"/>
      <c r="AB3017" s="310"/>
    </row>
    <row r="3018" spans="13:28" s="308" customFormat="1" x14ac:dyDescent="0.2">
      <c r="M3018" s="309"/>
      <c r="AB3018" s="310"/>
    </row>
    <row r="3019" spans="13:28" s="308" customFormat="1" x14ac:dyDescent="0.2">
      <c r="M3019" s="309"/>
      <c r="AB3019" s="310"/>
    </row>
    <row r="3020" spans="13:28" s="308" customFormat="1" x14ac:dyDescent="0.2">
      <c r="M3020" s="309"/>
      <c r="AB3020" s="310"/>
    </row>
    <row r="3021" spans="13:28" s="308" customFormat="1" x14ac:dyDescent="0.2">
      <c r="M3021" s="309"/>
      <c r="AB3021" s="310"/>
    </row>
    <row r="3022" spans="13:28" s="308" customFormat="1" x14ac:dyDescent="0.2">
      <c r="M3022" s="309"/>
      <c r="AB3022" s="310"/>
    </row>
    <row r="3023" spans="13:28" s="308" customFormat="1" x14ac:dyDescent="0.2">
      <c r="M3023" s="309"/>
      <c r="AB3023" s="310"/>
    </row>
    <row r="3024" spans="13:28" s="308" customFormat="1" x14ac:dyDescent="0.2">
      <c r="M3024" s="309"/>
      <c r="AB3024" s="310"/>
    </row>
    <row r="3025" spans="13:28" s="308" customFormat="1" x14ac:dyDescent="0.2">
      <c r="M3025" s="309"/>
      <c r="AB3025" s="310"/>
    </row>
    <row r="3026" spans="13:28" s="308" customFormat="1" x14ac:dyDescent="0.2">
      <c r="M3026" s="309"/>
      <c r="AB3026" s="310"/>
    </row>
    <row r="3027" spans="13:28" s="308" customFormat="1" x14ac:dyDescent="0.2">
      <c r="M3027" s="309"/>
      <c r="AB3027" s="310"/>
    </row>
    <row r="3028" spans="13:28" s="308" customFormat="1" x14ac:dyDescent="0.2">
      <c r="M3028" s="309"/>
      <c r="AB3028" s="310"/>
    </row>
    <row r="3029" spans="13:28" s="308" customFormat="1" x14ac:dyDescent="0.2">
      <c r="M3029" s="309"/>
      <c r="AB3029" s="310"/>
    </row>
    <row r="3030" spans="13:28" s="308" customFormat="1" x14ac:dyDescent="0.2">
      <c r="M3030" s="309"/>
      <c r="AB3030" s="310"/>
    </row>
    <row r="3031" spans="13:28" s="308" customFormat="1" x14ac:dyDescent="0.2">
      <c r="M3031" s="309"/>
      <c r="AB3031" s="310"/>
    </row>
    <row r="3032" spans="13:28" s="308" customFormat="1" x14ac:dyDescent="0.2">
      <c r="M3032" s="309"/>
      <c r="AB3032" s="310"/>
    </row>
    <row r="3033" spans="13:28" s="308" customFormat="1" x14ac:dyDescent="0.2">
      <c r="M3033" s="309"/>
      <c r="AB3033" s="310"/>
    </row>
    <row r="3034" spans="13:28" s="308" customFormat="1" x14ac:dyDescent="0.2">
      <c r="M3034" s="309"/>
      <c r="AB3034" s="310"/>
    </row>
    <row r="3035" spans="13:28" s="308" customFormat="1" x14ac:dyDescent="0.2">
      <c r="M3035" s="309"/>
      <c r="AB3035" s="310"/>
    </row>
    <row r="3036" spans="13:28" s="308" customFormat="1" x14ac:dyDescent="0.2">
      <c r="M3036" s="309"/>
      <c r="AB3036" s="310"/>
    </row>
    <row r="3037" spans="13:28" s="308" customFormat="1" x14ac:dyDescent="0.2">
      <c r="M3037" s="309"/>
      <c r="AB3037" s="310"/>
    </row>
    <row r="3038" spans="13:28" s="308" customFormat="1" x14ac:dyDescent="0.2">
      <c r="M3038" s="309"/>
      <c r="AB3038" s="310"/>
    </row>
    <row r="3039" spans="13:28" s="308" customFormat="1" x14ac:dyDescent="0.2">
      <c r="M3039" s="309"/>
      <c r="AB3039" s="310"/>
    </row>
    <row r="3040" spans="13:28" s="308" customFormat="1" x14ac:dyDescent="0.2">
      <c r="M3040" s="309"/>
      <c r="AB3040" s="310"/>
    </row>
    <row r="3041" spans="13:28" s="308" customFormat="1" x14ac:dyDescent="0.2">
      <c r="M3041" s="309"/>
      <c r="AB3041" s="310"/>
    </row>
    <row r="3042" spans="13:28" s="308" customFormat="1" x14ac:dyDescent="0.2">
      <c r="M3042" s="309"/>
      <c r="AB3042" s="310"/>
    </row>
    <row r="3043" spans="13:28" s="308" customFormat="1" x14ac:dyDescent="0.2">
      <c r="M3043" s="309"/>
      <c r="AB3043" s="310"/>
    </row>
    <row r="3044" spans="13:28" s="308" customFormat="1" x14ac:dyDescent="0.2">
      <c r="M3044" s="309"/>
      <c r="AB3044" s="310"/>
    </row>
    <row r="3045" spans="13:28" s="308" customFormat="1" x14ac:dyDescent="0.2">
      <c r="M3045" s="309"/>
      <c r="AB3045" s="310"/>
    </row>
    <row r="3046" spans="13:28" s="308" customFormat="1" x14ac:dyDescent="0.2">
      <c r="M3046" s="309"/>
      <c r="AB3046" s="310"/>
    </row>
    <row r="3047" spans="13:28" s="308" customFormat="1" x14ac:dyDescent="0.2">
      <c r="M3047" s="309"/>
      <c r="AB3047" s="310"/>
    </row>
    <row r="3048" spans="13:28" s="308" customFormat="1" x14ac:dyDescent="0.2">
      <c r="M3048" s="309"/>
      <c r="AB3048" s="310"/>
    </row>
    <row r="3049" spans="13:28" s="308" customFormat="1" x14ac:dyDescent="0.2">
      <c r="M3049" s="309"/>
      <c r="AB3049" s="310"/>
    </row>
    <row r="3050" spans="13:28" s="308" customFormat="1" x14ac:dyDescent="0.2">
      <c r="M3050" s="309"/>
      <c r="AB3050" s="310"/>
    </row>
    <row r="3051" spans="13:28" s="308" customFormat="1" x14ac:dyDescent="0.2">
      <c r="M3051" s="309"/>
      <c r="AB3051" s="310"/>
    </row>
    <row r="3052" spans="13:28" s="308" customFormat="1" x14ac:dyDescent="0.2">
      <c r="M3052" s="309"/>
      <c r="AB3052" s="310"/>
    </row>
    <row r="3053" spans="13:28" s="308" customFormat="1" x14ac:dyDescent="0.2">
      <c r="M3053" s="309"/>
      <c r="AB3053" s="310"/>
    </row>
    <row r="3054" spans="13:28" s="308" customFormat="1" x14ac:dyDescent="0.2">
      <c r="M3054" s="309"/>
      <c r="AB3054" s="310"/>
    </row>
    <row r="3055" spans="13:28" s="308" customFormat="1" x14ac:dyDescent="0.2">
      <c r="M3055" s="309"/>
      <c r="AB3055" s="310"/>
    </row>
    <row r="3056" spans="13:28" s="308" customFormat="1" x14ac:dyDescent="0.2">
      <c r="M3056" s="309"/>
      <c r="AB3056" s="310"/>
    </row>
    <row r="3057" spans="13:28" s="308" customFormat="1" x14ac:dyDescent="0.2">
      <c r="M3057" s="309"/>
      <c r="AB3057" s="310"/>
    </row>
    <row r="3058" spans="13:28" s="308" customFormat="1" x14ac:dyDescent="0.2">
      <c r="M3058" s="309"/>
      <c r="AB3058" s="310"/>
    </row>
    <row r="3059" spans="13:28" s="308" customFormat="1" x14ac:dyDescent="0.2">
      <c r="M3059" s="309"/>
      <c r="AB3059" s="310"/>
    </row>
    <row r="3060" spans="13:28" s="308" customFormat="1" x14ac:dyDescent="0.2">
      <c r="M3060" s="309"/>
      <c r="AB3060" s="310"/>
    </row>
    <row r="3061" spans="13:28" s="308" customFormat="1" x14ac:dyDescent="0.2">
      <c r="M3061" s="309"/>
      <c r="AB3061" s="310"/>
    </row>
    <row r="3062" spans="13:28" s="308" customFormat="1" x14ac:dyDescent="0.2">
      <c r="M3062" s="309"/>
      <c r="AB3062" s="310"/>
    </row>
    <row r="3063" spans="13:28" s="308" customFormat="1" x14ac:dyDescent="0.2">
      <c r="M3063" s="309"/>
      <c r="AB3063" s="310"/>
    </row>
    <row r="3064" spans="13:28" s="308" customFormat="1" x14ac:dyDescent="0.2">
      <c r="M3064" s="309"/>
      <c r="AB3064" s="310"/>
    </row>
    <row r="3065" spans="13:28" s="308" customFormat="1" x14ac:dyDescent="0.2">
      <c r="M3065" s="309"/>
      <c r="AB3065" s="310"/>
    </row>
    <row r="3066" spans="13:28" s="308" customFormat="1" x14ac:dyDescent="0.2">
      <c r="M3066" s="309"/>
      <c r="AB3066" s="310"/>
    </row>
    <row r="3067" spans="13:28" s="308" customFormat="1" x14ac:dyDescent="0.2">
      <c r="M3067" s="309"/>
      <c r="AB3067" s="310"/>
    </row>
    <row r="3068" spans="13:28" s="308" customFormat="1" x14ac:dyDescent="0.2">
      <c r="M3068" s="309"/>
      <c r="AB3068" s="310"/>
    </row>
    <row r="3069" spans="13:28" s="308" customFormat="1" x14ac:dyDescent="0.2">
      <c r="M3069" s="309"/>
      <c r="AB3069" s="310"/>
    </row>
    <row r="3070" spans="13:28" s="308" customFormat="1" x14ac:dyDescent="0.2">
      <c r="M3070" s="309"/>
      <c r="AB3070" s="310"/>
    </row>
    <row r="3071" spans="13:28" s="308" customFormat="1" x14ac:dyDescent="0.2">
      <c r="M3071" s="309"/>
      <c r="AB3071" s="310"/>
    </row>
    <row r="3072" spans="13:28" s="308" customFormat="1" x14ac:dyDescent="0.2">
      <c r="M3072" s="309"/>
      <c r="AB3072" s="310"/>
    </row>
    <row r="3073" spans="13:28" s="308" customFormat="1" x14ac:dyDescent="0.2">
      <c r="M3073" s="309"/>
      <c r="AB3073" s="310"/>
    </row>
    <row r="3074" spans="13:28" s="308" customFormat="1" x14ac:dyDescent="0.2">
      <c r="M3074" s="309"/>
      <c r="AB3074" s="310"/>
    </row>
    <row r="3075" spans="13:28" s="308" customFormat="1" x14ac:dyDescent="0.2">
      <c r="M3075" s="309"/>
      <c r="AB3075" s="310"/>
    </row>
    <row r="3076" spans="13:28" s="308" customFormat="1" x14ac:dyDescent="0.2">
      <c r="M3076" s="309"/>
      <c r="AB3076" s="310"/>
    </row>
    <row r="3077" spans="13:28" s="308" customFormat="1" x14ac:dyDescent="0.2">
      <c r="M3077" s="309"/>
      <c r="AB3077" s="310"/>
    </row>
    <row r="3078" spans="13:28" s="308" customFormat="1" x14ac:dyDescent="0.2">
      <c r="M3078" s="309"/>
      <c r="AB3078" s="310"/>
    </row>
    <row r="3079" spans="13:28" s="308" customFormat="1" x14ac:dyDescent="0.2">
      <c r="M3079" s="309"/>
      <c r="AB3079" s="310"/>
    </row>
    <row r="3080" spans="13:28" s="308" customFormat="1" x14ac:dyDescent="0.2">
      <c r="M3080" s="309"/>
      <c r="AB3080" s="310"/>
    </row>
    <row r="3081" spans="13:28" s="308" customFormat="1" x14ac:dyDescent="0.2">
      <c r="M3081" s="309"/>
      <c r="AB3081" s="310"/>
    </row>
    <row r="3082" spans="13:28" s="308" customFormat="1" x14ac:dyDescent="0.2">
      <c r="M3082" s="309"/>
      <c r="AB3082" s="310"/>
    </row>
    <row r="3083" spans="13:28" s="308" customFormat="1" x14ac:dyDescent="0.2">
      <c r="M3083" s="309"/>
      <c r="AB3083" s="310"/>
    </row>
    <row r="3084" spans="13:28" s="308" customFormat="1" x14ac:dyDescent="0.2">
      <c r="M3084" s="309"/>
      <c r="AB3084" s="310"/>
    </row>
    <row r="3085" spans="13:28" s="308" customFormat="1" x14ac:dyDescent="0.2">
      <c r="M3085" s="309"/>
      <c r="AB3085" s="310"/>
    </row>
    <row r="3086" spans="13:28" s="308" customFormat="1" x14ac:dyDescent="0.2">
      <c r="M3086" s="309"/>
      <c r="AB3086" s="310"/>
    </row>
    <row r="3087" spans="13:28" s="308" customFormat="1" x14ac:dyDescent="0.2">
      <c r="M3087" s="309"/>
      <c r="AB3087" s="310"/>
    </row>
    <row r="3088" spans="13:28" s="308" customFormat="1" x14ac:dyDescent="0.2">
      <c r="M3088" s="309"/>
      <c r="AB3088" s="310"/>
    </row>
    <row r="3089" spans="13:28" s="308" customFormat="1" x14ac:dyDescent="0.2">
      <c r="M3089" s="309"/>
      <c r="AB3089" s="310"/>
    </row>
    <row r="3090" spans="13:28" s="308" customFormat="1" x14ac:dyDescent="0.2">
      <c r="M3090" s="309"/>
      <c r="AB3090" s="310"/>
    </row>
    <row r="3091" spans="13:28" s="308" customFormat="1" x14ac:dyDescent="0.2">
      <c r="M3091" s="309"/>
      <c r="AB3091" s="310"/>
    </row>
    <row r="3092" spans="13:28" s="308" customFormat="1" x14ac:dyDescent="0.2">
      <c r="M3092" s="309"/>
      <c r="AB3092" s="310"/>
    </row>
    <row r="3093" spans="13:28" s="308" customFormat="1" x14ac:dyDescent="0.2">
      <c r="M3093" s="309"/>
      <c r="AB3093" s="310"/>
    </row>
    <row r="3094" spans="13:28" s="308" customFormat="1" x14ac:dyDescent="0.2">
      <c r="M3094" s="309"/>
      <c r="AB3094" s="310"/>
    </row>
    <row r="3095" spans="13:28" s="308" customFormat="1" x14ac:dyDescent="0.2">
      <c r="M3095" s="309"/>
      <c r="AB3095" s="310"/>
    </row>
    <row r="3096" spans="13:28" s="308" customFormat="1" x14ac:dyDescent="0.2">
      <c r="M3096" s="309"/>
      <c r="AB3096" s="310"/>
    </row>
    <row r="3097" spans="13:28" s="308" customFormat="1" x14ac:dyDescent="0.2">
      <c r="M3097" s="309"/>
      <c r="AB3097" s="310"/>
    </row>
    <row r="3098" spans="13:28" s="308" customFormat="1" x14ac:dyDescent="0.2">
      <c r="M3098" s="309"/>
      <c r="AB3098" s="310"/>
    </row>
    <row r="3099" spans="13:28" s="308" customFormat="1" x14ac:dyDescent="0.2">
      <c r="M3099" s="309"/>
      <c r="AB3099" s="310"/>
    </row>
    <row r="3100" spans="13:28" s="308" customFormat="1" x14ac:dyDescent="0.2">
      <c r="M3100" s="309"/>
      <c r="AB3100" s="310"/>
    </row>
    <row r="3101" spans="13:28" s="308" customFormat="1" x14ac:dyDescent="0.2">
      <c r="M3101" s="309"/>
      <c r="AB3101" s="310"/>
    </row>
    <row r="3102" spans="13:28" s="308" customFormat="1" x14ac:dyDescent="0.2">
      <c r="M3102" s="309"/>
      <c r="AB3102" s="310"/>
    </row>
    <row r="3103" spans="13:28" s="308" customFormat="1" x14ac:dyDescent="0.2">
      <c r="M3103" s="309"/>
      <c r="AB3103" s="310"/>
    </row>
    <row r="3104" spans="13:28" s="308" customFormat="1" x14ac:dyDescent="0.2">
      <c r="M3104" s="309"/>
      <c r="AB3104" s="310"/>
    </row>
    <row r="3105" spans="13:28" s="308" customFormat="1" x14ac:dyDescent="0.2">
      <c r="M3105" s="309"/>
      <c r="AB3105" s="310"/>
    </row>
    <row r="3106" spans="13:28" s="308" customFormat="1" x14ac:dyDescent="0.2">
      <c r="M3106" s="309"/>
      <c r="AB3106" s="310"/>
    </row>
    <row r="3107" spans="13:28" s="308" customFormat="1" x14ac:dyDescent="0.2">
      <c r="M3107" s="309"/>
      <c r="AB3107" s="310"/>
    </row>
    <row r="3108" spans="13:28" s="308" customFormat="1" x14ac:dyDescent="0.2">
      <c r="M3108" s="309"/>
      <c r="AB3108" s="310"/>
    </row>
    <row r="3109" spans="13:28" s="308" customFormat="1" x14ac:dyDescent="0.2">
      <c r="M3109" s="309"/>
      <c r="AB3109" s="310"/>
    </row>
    <row r="3110" spans="13:28" s="308" customFormat="1" x14ac:dyDescent="0.2">
      <c r="M3110" s="309"/>
      <c r="AB3110" s="310"/>
    </row>
    <row r="3111" spans="13:28" s="308" customFormat="1" x14ac:dyDescent="0.2">
      <c r="M3111" s="309"/>
      <c r="AB3111" s="310"/>
    </row>
    <row r="3112" spans="13:28" s="308" customFormat="1" x14ac:dyDescent="0.2">
      <c r="M3112" s="309"/>
      <c r="AB3112" s="310"/>
    </row>
    <row r="3113" spans="13:28" s="308" customFormat="1" x14ac:dyDescent="0.2">
      <c r="M3113" s="309"/>
      <c r="AB3113" s="310"/>
    </row>
    <row r="3114" spans="13:28" s="308" customFormat="1" x14ac:dyDescent="0.2">
      <c r="M3114" s="309"/>
      <c r="AB3114" s="310"/>
    </row>
    <row r="3115" spans="13:28" s="308" customFormat="1" x14ac:dyDescent="0.2">
      <c r="M3115" s="309"/>
      <c r="AB3115" s="310"/>
    </row>
    <row r="3116" spans="13:28" s="308" customFormat="1" x14ac:dyDescent="0.2">
      <c r="M3116" s="309"/>
      <c r="AB3116" s="310"/>
    </row>
    <row r="3117" spans="13:28" s="308" customFormat="1" x14ac:dyDescent="0.2">
      <c r="M3117" s="309"/>
      <c r="AB3117" s="310"/>
    </row>
    <row r="3118" spans="13:28" s="308" customFormat="1" x14ac:dyDescent="0.2">
      <c r="M3118" s="309"/>
      <c r="AB3118" s="310"/>
    </row>
    <row r="3119" spans="13:28" s="308" customFormat="1" x14ac:dyDescent="0.2">
      <c r="M3119" s="309"/>
      <c r="AB3119" s="310"/>
    </row>
    <row r="3120" spans="13:28" s="308" customFormat="1" x14ac:dyDescent="0.2">
      <c r="M3120" s="309"/>
      <c r="AB3120" s="310"/>
    </row>
    <row r="3121" spans="13:28" s="308" customFormat="1" x14ac:dyDescent="0.2">
      <c r="M3121" s="309"/>
      <c r="AB3121" s="310"/>
    </row>
    <row r="3122" spans="13:28" s="308" customFormat="1" x14ac:dyDescent="0.2">
      <c r="M3122" s="309"/>
      <c r="AB3122" s="310"/>
    </row>
    <row r="3123" spans="13:28" s="308" customFormat="1" x14ac:dyDescent="0.2">
      <c r="M3123" s="309"/>
      <c r="AB3123" s="310"/>
    </row>
    <row r="3124" spans="13:28" s="308" customFormat="1" x14ac:dyDescent="0.2">
      <c r="M3124" s="309"/>
      <c r="AB3124" s="310"/>
    </row>
    <row r="3125" spans="13:28" s="308" customFormat="1" x14ac:dyDescent="0.2">
      <c r="M3125" s="309"/>
      <c r="AB3125" s="310"/>
    </row>
    <row r="3126" spans="13:28" s="308" customFormat="1" x14ac:dyDescent="0.2">
      <c r="M3126" s="309"/>
      <c r="AB3126" s="310"/>
    </row>
    <row r="3127" spans="13:28" s="308" customFormat="1" x14ac:dyDescent="0.2">
      <c r="M3127" s="309"/>
      <c r="AB3127" s="310"/>
    </row>
    <row r="3128" spans="13:28" s="308" customFormat="1" x14ac:dyDescent="0.2">
      <c r="M3128" s="309"/>
      <c r="AB3128" s="310"/>
    </row>
    <row r="3129" spans="13:28" s="308" customFormat="1" x14ac:dyDescent="0.2">
      <c r="M3129" s="309"/>
      <c r="AB3129" s="310"/>
    </row>
    <row r="3130" spans="13:28" s="308" customFormat="1" x14ac:dyDescent="0.2">
      <c r="M3130" s="309"/>
      <c r="AB3130" s="310"/>
    </row>
    <row r="3131" spans="13:28" s="308" customFormat="1" x14ac:dyDescent="0.2">
      <c r="M3131" s="309"/>
      <c r="AB3131" s="310"/>
    </row>
    <row r="3132" spans="13:28" s="308" customFormat="1" x14ac:dyDescent="0.2">
      <c r="M3132" s="309"/>
      <c r="AB3132" s="310"/>
    </row>
    <row r="3133" spans="13:28" s="308" customFormat="1" x14ac:dyDescent="0.2">
      <c r="M3133" s="309"/>
      <c r="AB3133" s="310"/>
    </row>
    <row r="3134" spans="13:28" s="308" customFormat="1" x14ac:dyDescent="0.2">
      <c r="M3134" s="309"/>
      <c r="AB3134" s="310"/>
    </row>
    <row r="3135" spans="13:28" s="308" customFormat="1" x14ac:dyDescent="0.2">
      <c r="M3135" s="309"/>
      <c r="AB3135" s="310"/>
    </row>
    <row r="3136" spans="13:28" s="308" customFormat="1" x14ac:dyDescent="0.2">
      <c r="M3136" s="309"/>
      <c r="AB3136" s="310"/>
    </row>
    <row r="3137" spans="13:28" s="308" customFormat="1" x14ac:dyDescent="0.2">
      <c r="M3137" s="309"/>
      <c r="AB3137" s="310"/>
    </row>
    <row r="3138" spans="13:28" s="308" customFormat="1" x14ac:dyDescent="0.2">
      <c r="M3138" s="309"/>
      <c r="AB3138" s="310"/>
    </row>
    <row r="3139" spans="13:28" s="308" customFormat="1" x14ac:dyDescent="0.2">
      <c r="M3139" s="309"/>
      <c r="AB3139" s="310"/>
    </row>
    <row r="3140" spans="13:28" s="308" customFormat="1" x14ac:dyDescent="0.2">
      <c r="M3140" s="309"/>
      <c r="AB3140" s="310"/>
    </row>
    <row r="3141" spans="13:28" s="308" customFormat="1" x14ac:dyDescent="0.2">
      <c r="M3141" s="309"/>
      <c r="AB3141" s="310"/>
    </row>
    <row r="3142" spans="13:28" s="308" customFormat="1" x14ac:dyDescent="0.2">
      <c r="M3142" s="309"/>
      <c r="AB3142" s="310"/>
    </row>
    <row r="3143" spans="13:28" s="308" customFormat="1" x14ac:dyDescent="0.2">
      <c r="M3143" s="309"/>
      <c r="AB3143" s="310"/>
    </row>
    <row r="3144" spans="13:28" s="308" customFormat="1" x14ac:dyDescent="0.2">
      <c r="M3144" s="309"/>
      <c r="AB3144" s="310"/>
    </row>
    <row r="3145" spans="13:28" s="308" customFormat="1" x14ac:dyDescent="0.2">
      <c r="M3145" s="309"/>
      <c r="AB3145" s="310"/>
    </row>
    <row r="3146" spans="13:28" s="308" customFormat="1" x14ac:dyDescent="0.2">
      <c r="M3146" s="309"/>
      <c r="AB3146" s="310"/>
    </row>
    <row r="3147" spans="13:28" s="308" customFormat="1" x14ac:dyDescent="0.2">
      <c r="M3147" s="309"/>
      <c r="AB3147" s="310"/>
    </row>
    <row r="3148" spans="13:28" s="308" customFormat="1" x14ac:dyDescent="0.2">
      <c r="M3148" s="309"/>
      <c r="AB3148" s="310"/>
    </row>
    <row r="3149" spans="13:28" s="308" customFormat="1" x14ac:dyDescent="0.2">
      <c r="M3149" s="309"/>
      <c r="AB3149" s="310"/>
    </row>
    <row r="3150" spans="13:28" s="308" customFormat="1" x14ac:dyDescent="0.2">
      <c r="M3150" s="309"/>
      <c r="AB3150" s="310"/>
    </row>
    <row r="3151" spans="13:28" s="308" customFormat="1" x14ac:dyDescent="0.2">
      <c r="M3151" s="309"/>
      <c r="AB3151" s="310"/>
    </row>
    <row r="3152" spans="13:28" s="308" customFormat="1" x14ac:dyDescent="0.2">
      <c r="M3152" s="309"/>
      <c r="AB3152" s="310"/>
    </row>
    <row r="3153" spans="13:28" s="308" customFormat="1" x14ac:dyDescent="0.2">
      <c r="M3153" s="309"/>
      <c r="AB3153" s="310"/>
    </row>
    <row r="3154" spans="13:28" s="308" customFormat="1" x14ac:dyDescent="0.2">
      <c r="M3154" s="309"/>
      <c r="AB3154" s="310"/>
    </row>
    <row r="3155" spans="13:28" s="308" customFormat="1" x14ac:dyDescent="0.2">
      <c r="M3155" s="309"/>
      <c r="AB3155" s="310"/>
    </row>
    <row r="3156" spans="13:28" s="308" customFormat="1" x14ac:dyDescent="0.2">
      <c r="M3156" s="309"/>
      <c r="AB3156" s="310"/>
    </row>
    <row r="3157" spans="13:28" s="308" customFormat="1" x14ac:dyDescent="0.2">
      <c r="M3157" s="309"/>
      <c r="AB3157" s="310"/>
    </row>
    <row r="3158" spans="13:28" s="308" customFormat="1" x14ac:dyDescent="0.2">
      <c r="M3158" s="309"/>
      <c r="AB3158" s="310"/>
    </row>
    <row r="3159" spans="13:28" s="308" customFormat="1" x14ac:dyDescent="0.2">
      <c r="M3159" s="309"/>
      <c r="AB3159" s="310"/>
    </row>
    <row r="3160" spans="13:28" s="308" customFormat="1" x14ac:dyDescent="0.2">
      <c r="M3160" s="309"/>
      <c r="AB3160" s="310"/>
    </row>
    <row r="3161" spans="13:28" s="308" customFormat="1" x14ac:dyDescent="0.2">
      <c r="M3161" s="309"/>
      <c r="AB3161" s="310"/>
    </row>
    <row r="3162" spans="13:28" s="308" customFormat="1" x14ac:dyDescent="0.2">
      <c r="M3162" s="309"/>
      <c r="AB3162" s="310"/>
    </row>
    <row r="3163" spans="13:28" s="308" customFormat="1" x14ac:dyDescent="0.2">
      <c r="M3163" s="309"/>
      <c r="AB3163" s="310"/>
    </row>
    <row r="3164" spans="13:28" s="308" customFormat="1" x14ac:dyDescent="0.2">
      <c r="M3164" s="309"/>
      <c r="AB3164" s="310"/>
    </row>
    <row r="3165" spans="13:28" s="308" customFormat="1" x14ac:dyDescent="0.2">
      <c r="M3165" s="309"/>
      <c r="AB3165" s="310"/>
    </row>
    <row r="3166" spans="13:28" s="308" customFormat="1" x14ac:dyDescent="0.2">
      <c r="M3166" s="309"/>
      <c r="AB3166" s="310"/>
    </row>
    <row r="3167" spans="13:28" s="308" customFormat="1" x14ac:dyDescent="0.2">
      <c r="M3167" s="309"/>
      <c r="AB3167" s="310"/>
    </row>
    <row r="3168" spans="13:28" s="308" customFormat="1" x14ac:dyDescent="0.2">
      <c r="M3168" s="309"/>
      <c r="AB3168" s="310"/>
    </row>
    <row r="3169" spans="13:28" s="308" customFormat="1" x14ac:dyDescent="0.2">
      <c r="M3169" s="309"/>
      <c r="AB3169" s="310"/>
    </row>
    <row r="3170" spans="13:28" s="308" customFormat="1" x14ac:dyDescent="0.2">
      <c r="M3170" s="309"/>
      <c r="AB3170" s="310"/>
    </row>
    <row r="3171" spans="13:28" s="308" customFormat="1" x14ac:dyDescent="0.2">
      <c r="M3171" s="309"/>
      <c r="AB3171" s="310"/>
    </row>
    <row r="3172" spans="13:28" s="308" customFormat="1" x14ac:dyDescent="0.2">
      <c r="M3172" s="309"/>
      <c r="AB3172" s="310"/>
    </row>
    <row r="3173" spans="13:28" s="308" customFormat="1" x14ac:dyDescent="0.2">
      <c r="M3173" s="309"/>
      <c r="AB3173" s="310"/>
    </row>
    <row r="3174" spans="13:28" s="308" customFormat="1" x14ac:dyDescent="0.2">
      <c r="M3174" s="309"/>
      <c r="AB3174" s="310"/>
    </row>
    <row r="3175" spans="13:28" s="308" customFormat="1" x14ac:dyDescent="0.2">
      <c r="M3175" s="309"/>
      <c r="AB3175" s="310"/>
    </row>
    <row r="3176" spans="13:28" s="308" customFormat="1" x14ac:dyDescent="0.2">
      <c r="M3176" s="309"/>
      <c r="AB3176" s="310"/>
    </row>
    <row r="3177" spans="13:28" s="308" customFormat="1" x14ac:dyDescent="0.2">
      <c r="M3177" s="309"/>
      <c r="AB3177" s="310"/>
    </row>
    <row r="3178" spans="13:28" s="308" customFormat="1" x14ac:dyDescent="0.2">
      <c r="M3178" s="309"/>
      <c r="AB3178" s="310"/>
    </row>
    <row r="3179" spans="13:28" s="308" customFormat="1" x14ac:dyDescent="0.2">
      <c r="M3179" s="309"/>
      <c r="AB3179" s="310"/>
    </row>
    <row r="3180" spans="13:28" s="308" customFormat="1" x14ac:dyDescent="0.2">
      <c r="M3180" s="309"/>
      <c r="AB3180" s="310"/>
    </row>
    <row r="3181" spans="13:28" s="308" customFormat="1" x14ac:dyDescent="0.2">
      <c r="M3181" s="309"/>
      <c r="AB3181" s="310"/>
    </row>
    <row r="3182" spans="13:28" s="308" customFormat="1" x14ac:dyDescent="0.2">
      <c r="M3182" s="309"/>
      <c r="AB3182" s="310"/>
    </row>
    <row r="3183" spans="13:28" s="308" customFormat="1" x14ac:dyDescent="0.2">
      <c r="M3183" s="309"/>
      <c r="AB3183" s="310"/>
    </row>
    <row r="3184" spans="13:28" s="308" customFormat="1" x14ac:dyDescent="0.2">
      <c r="M3184" s="309"/>
      <c r="AB3184" s="310"/>
    </row>
    <row r="3185" spans="13:28" s="308" customFormat="1" x14ac:dyDescent="0.2">
      <c r="M3185" s="309"/>
      <c r="AB3185" s="310"/>
    </row>
    <row r="3186" spans="13:28" s="308" customFormat="1" x14ac:dyDescent="0.2">
      <c r="M3186" s="309"/>
      <c r="AB3186" s="310"/>
    </row>
    <row r="3187" spans="13:28" s="308" customFormat="1" x14ac:dyDescent="0.2">
      <c r="M3187" s="309"/>
      <c r="AB3187" s="310"/>
    </row>
    <row r="3188" spans="13:28" s="308" customFormat="1" x14ac:dyDescent="0.2">
      <c r="M3188" s="309"/>
      <c r="AB3188" s="310"/>
    </row>
    <row r="3189" spans="13:28" s="308" customFormat="1" x14ac:dyDescent="0.2">
      <c r="M3189" s="309"/>
      <c r="AB3189" s="310"/>
    </row>
    <row r="3190" spans="13:28" s="308" customFormat="1" x14ac:dyDescent="0.2">
      <c r="M3190" s="309"/>
      <c r="AB3190" s="310"/>
    </row>
    <row r="3191" spans="13:28" s="308" customFormat="1" x14ac:dyDescent="0.2">
      <c r="M3191" s="309"/>
      <c r="AB3191" s="310"/>
    </row>
    <row r="3192" spans="13:28" s="308" customFormat="1" x14ac:dyDescent="0.2">
      <c r="M3192" s="309"/>
      <c r="AB3192" s="310"/>
    </row>
    <row r="3193" spans="13:28" s="308" customFormat="1" x14ac:dyDescent="0.2">
      <c r="M3193" s="309"/>
      <c r="AB3193" s="310"/>
    </row>
    <row r="3194" spans="13:28" s="308" customFormat="1" x14ac:dyDescent="0.2">
      <c r="M3194" s="309"/>
      <c r="AB3194" s="310"/>
    </row>
    <row r="3195" spans="13:28" s="308" customFormat="1" x14ac:dyDescent="0.2">
      <c r="M3195" s="309"/>
      <c r="AB3195" s="310"/>
    </row>
    <row r="3196" spans="13:28" s="308" customFormat="1" x14ac:dyDescent="0.2">
      <c r="M3196" s="309"/>
      <c r="AB3196" s="310"/>
    </row>
    <row r="3197" spans="13:28" s="308" customFormat="1" x14ac:dyDescent="0.2">
      <c r="M3197" s="309"/>
      <c r="AB3197" s="310"/>
    </row>
    <row r="3198" spans="13:28" s="308" customFormat="1" x14ac:dyDescent="0.2">
      <c r="M3198" s="309"/>
      <c r="AB3198" s="310"/>
    </row>
    <row r="3199" spans="13:28" s="308" customFormat="1" x14ac:dyDescent="0.2">
      <c r="M3199" s="309"/>
      <c r="AB3199" s="310"/>
    </row>
    <row r="3200" spans="13:28" s="308" customFormat="1" x14ac:dyDescent="0.2">
      <c r="M3200" s="309"/>
      <c r="AB3200" s="310"/>
    </row>
    <row r="3201" spans="13:28" s="308" customFormat="1" x14ac:dyDescent="0.2">
      <c r="M3201" s="309"/>
      <c r="AB3201" s="310"/>
    </row>
    <row r="3202" spans="13:28" s="308" customFormat="1" x14ac:dyDescent="0.2">
      <c r="M3202" s="309"/>
      <c r="AB3202" s="310"/>
    </row>
    <row r="3203" spans="13:28" s="308" customFormat="1" x14ac:dyDescent="0.2">
      <c r="M3203" s="309"/>
      <c r="AB3203" s="310"/>
    </row>
    <row r="3204" spans="13:28" s="308" customFormat="1" x14ac:dyDescent="0.2">
      <c r="M3204" s="309"/>
      <c r="AB3204" s="310"/>
    </row>
    <row r="3205" spans="13:28" s="308" customFormat="1" x14ac:dyDescent="0.2">
      <c r="M3205" s="309"/>
      <c r="AB3205" s="310"/>
    </row>
    <row r="3206" spans="13:28" s="308" customFormat="1" x14ac:dyDescent="0.2">
      <c r="M3206" s="309"/>
      <c r="AB3206" s="310"/>
    </row>
    <row r="3207" spans="13:28" s="308" customFormat="1" x14ac:dyDescent="0.2">
      <c r="M3207" s="309"/>
      <c r="AB3207" s="310"/>
    </row>
    <row r="3208" spans="13:28" s="308" customFormat="1" x14ac:dyDescent="0.2">
      <c r="M3208" s="309"/>
      <c r="AB3208" s="310"/>
    </row>
    <row r="3209" spans="13:28" s="308" customFormat="1" x14ac:dyDescent="0.2">
      <c r="M3209" s="309"/>
      <c r="AB3209" s="310"/>
    </row>
    <row r="3210" spans="13:28" s="308" customFormat="1" x14ac:dyDescent="0.2">
      <c r="M3210" s="309"/>
      <c r="AB3210" s="310"/>
    </row>
    <row r="3211" spans="13:28" s="308" customFormat="1" x14ac:dyDescent="0.2">
      <c r="M3211" s="309"/>
      <c r="AB3211" s="310"/>
    </row>
    <row r="3212" spans="13:28" s="308" customFormat="1" x14ac:dyDescent="0.2">
      <c r="M3212" s="309"/>
      <c r="AB3212" s="310"/>
    </row>
    <row r="3213" spans="13:28" s="308" customFormat="1" x14ac:dyDescent="0.2">
      <c r="M3213" s="309"/>
      <c r="AB3213" s="310"/>
    </row>
    <row r="3214" spans="13:28" s="308" customFormat="1" x14ac:dyDescent="0.2">
      <c r="M3214" s="309"/>
      <c r="AB3214" s="310"/>
    </row>
    <row r="3215" spans="13:28" s="308" customFormat="1" x14ac:dyDescent="0.2">
      <c r="M3215" s="309"/>
      <c r="AB3215" s="310"/>
    </row>
    <row r="3216" spans="13:28" s="308" customFormat="1" x14ac:dyDescent="0.2">
      <c r="M3216" s="309"/>
      <c r="AB3216" s="310"/>
    </row>
    <row r="3217" spans="13:28" s="308" customFormat="1" x14ac:dyDescent="0.2">
      <c r="M3217" s="309"/>
      <c r="AB3217" s="310"/>
    </row>
    <row r="3218" spans="13:28" s="308" customFormat="1" x14ac:dyDescent="0.2">
      <c r="M3218" s="309"/>
      <c r="AB3218" s="310"/>
    </row>
    <row r="3219" spans="13:28" s="308" customFormat="1" x14ac:dyDescent="0.2">
      <c r="M3219" s="309"/>
      <c r="AB3219" s="310"/>
    </row>
    <row r="3220" spans="13:28" s="308" customFormat="1" x14ac:dyDescent="0.2">
      <c r="M3220" s="309"/>
      <c r="AB3220" s="310"/>
    </row>
    <row r="3221" spans="13:28" s="308" customFormat="1" x14ac:dyDescent="0.2">
      <c r="M3221" s="309"/>
      <c r="AB3221" s="310"/>
    </row>
    <row r="3222" spans="13:28" s="308" customFormat="1" x14ac:dyDescent="0.2">
      <c r="M3222" s="309"/>
      <c r="AB3222" s="310"/>
    </row>
    <row r="3223" spans="13:28" s="308" customFormat="1" x14ac:dyDescent="0.2">
      <c r="M3223" s="309"/>
      <c r="AB3223" s="310"/>
    </row>
    <row r="3224" spans="13:28" s="308" customFormat="1" x14ac:dyDescent="0.2">
      <c r="M3224" s="309"/>
      <c r="AB3224" s="310"/>
    </row>
    <row r="3225" spans="13:28" s="308" customFormat="1" x14ac:dyDescent="0.2">
      <c r="M3225" s="309"/>
      <c r="AB3225" s="310"/>
    </row>
    <row r="3226" spans="13:28" s="308" customFormat="1" x14ac:dyDescent="0.2">
      <c r="M3226" s="309"/>
      <c r="AB3226" s="310"/>
    </row>
    <row r="3227" spans="13:28" s="308" customFormat="1" x14ac:dyDescent="0.2">
      <c r="M3227" s="309"/>
      <c r="AB3227" s="310"/>
    </row>
    <row r="3228" spans="13:28" s="308" customFormat="1" x14ac:dyDescent="0.2">
      <c r="M3228" s="309"/>
      <c r="AB3228" s="310"/>
    </row>
    <row r="3229" spans="13:28" s="308" customFormat="1" x14ac:dyDescent="0.2">
      <c r="M3229" s="309"/>
      <c r="AB3229" s="310"/>
    </row>
    <row r="3230" spans="13:28" s="308" customFormat="1" x14ac:dyDescent="0.2">
      <c r="M3230" s="309"/>
      <c r="AB3230" s="310"/>
    </row>
    <row r="3231" spans="13:28" s="308" customFormat="1" x14ac:dyDescent="0.2">
      <c r="M3231" s="309"/>
      <c r="AB3231" s="310"/>
    </row>
    <row r="3232" spans="13:28" s="308" customFormat="1" x14ac:dyDescent="0.2">
      <c r="M3232" s="309"/>
      <c r="AB3232" s="310"/>
    </row>
    <row r="3233" spans="13:28" s="308" customFormat="1" x14ac:dyDescent="0.2">
      <c r="M3233" s="309"/>
      <c r="AB3233" s="310"/>
    </row>
    <row r="3234" spans="13:28" s="308" customFormat="1" x14ac:dyDescent="0.2">
      <c r="M3234" s="309"/>
      <c r="AB3234" s="310"/>
    </row>
    <row r="3235" spans="13:28" s="308" customFormat="1" x14ac:dyDescent="0.2">
      <c r="M3235" s="309"/>
      <c r="AB3235" s="310"/>
    </row>
    <row r="3236" spans="13:28" s="308" customFormat="1" x14ac:dyDescent="0.2">
      <c r="M3236" s="309"/>
      <c r="AB3236" s="310"/>
    </row>
    <row r="3237" spans="13:28" s="308" customFormat="1" x14ac:dyDescent="0.2">
      <c r="M3237" s="309"/>
      <c r="AB3237" s="310"/>
    </row>
    <row r="3238" spans="13:28" s="308" customFormat="1" x14ac:dyDescent="0.2">
      <c r="M3238" s="309"/>
      <c r="AB3238" s="310"/>
    </row>
    <row r="3239" spans="13:28" s="308" customFormat="1" x14ac:dyDescent="0.2">
      <c r="M3239" s="309"/>
      <c r="AB3239" s="310"/>
    </row>
    <row r="3240" spans="13:28" s="308" customFormat="1" x14ac:dyDescent="0.2">
      <c r="M3240" s="309"/>
      <c r="AB3240" s="310"/>
    </row>
    <row r="3241" spans="13:28" s="308" customFormat="1" x14ac:dyDescent="0.2">
      <c r="M3241" s="309"/>
      <c r="AB3241" s="310"/>
    </row>
    <row r="3242" spans="13:28" s="308" customFormat="1" x14ac:dyDescent="0.2">
      <c r="M3242" s="309"/>
      <c r="AB3242" s="310"/>
    </row>
    <row r="3243" spans="13:28" s="308" customFormat="1" x14ac:dyDescent="0.2">
      <c r="M3243" s="309"/>
      <c r="AB3243" s="310"/>
    </row>
    <row r="3244" spans="13:28" s="308" customFormat="1" x14ac:dyDescent="0.2">
      <c r="M3244" s="309"/>
      <c r="AB3244" s="310"/>
    </row>
    <row r="3245" spans="13:28" s="308" customFormat="1" x14ac:dyDescent="0.2">
      <c r="M3245" s="309"/>
      <c r="AB3245" s="310"/>
    </row>
    <row r="3246" spans="13:28" s="308" customFormat="1" x14ac:dyDescent="0.2">
      <c r="M3246" s="309"/>
      <c r="AB3246" s="310"/>
    </row>
    <row r="3247" spans="13:28" s="308" customFormat="1" x14ac:dyDescent="0.2">
      <c r="M3247" s="309"/>
      <c r="AB3247" s="310"/>
    </row>
    <row r="3248" spans="13:28" s="308" customFormat="1" x14ac:dyDescent="0.2">
      <c r="M3248" s="309"/>
      <c r="AB3248" s="310"/>
    </row>
    <row r="3249" spans="13:28" s="308" customFormat="1" x14ac:dyDescent="0.2">
      <c r="M3249" s="309"/>
      <c r="AB3249" s="310"/>
    </row>
    <row r="3250" spans="13:28" s="308" customFormat="1" x14ac:dyDescent="0.2">
      <c r="M3250" s="309"/>
      <c r="AB3250" s="310"/>
    </row>
    <row r="3251" spans="13:28" s="308" customFormat="1" x14ac:dyDescent="0.2">
      <c r="M3251" s="309"/>
      <c r="AB3251" s="310"/>
    </row>
    <row r="3252" spans="13:28" s="308" customFormat="1" x14ac:dyDescent="0.2">
      <c r="M3252" s="309"/>
      <c r="AB3252" s="310"/>
    </row>
    <row r="3253" spans="13:28" s="308" customFormat="1" x14ac:dyDescent="0.2">
      <c r="M3253" s="309"/>
      <c r="AB3253" s="310"/>
    </row>
    <row r="3254" spans="13:28" s="308" customFormat="1" x14ac:dyDescent="0.2">
      <c r="M3254" s="309"/>
      <c r="AB3254" s="310"/>
    </row>
    <row r="3255" spans="13:28" s="308" customFormat="1" x14ac:dyDescent="0.2">
      <c r="M3255" s="309"/>
      <c r="AB3255" s="310"/>
    </row>
    <row r="3256" spans="13:28" s="308" customFormat="1" x14ac:dyDescent="0.2">
      <c r="M3256" s="309"/>
      <c r="AB3256" s="310"/>
    </row>
    <row r="3257" spans="13:28" s="308" customFormat="1" x14ac:dyDescent="0.2">
      <c r="M3257" s="309"/>
      <c r="AB3257" s="310"/>
    </row>
    <row r="3258" spans="13:28" s="308" customFormat="1" x14ac:dyDescent="0.2">
      <c r="M3258" s="309"/>
      <c r="AB3258" s="310"/>
    </row>
    <row r="3259" spans="13:28" s="308" customFormat="1" x14ac:dyDescent="0.2">
      <c r="M3259" s="309"/>
      <c r="AB3259" s="310"/>
    </row>
    <row r="3260" spans="13:28" s="308" customFormat="1" x14ac:dyDescent="0.2">
      <c r="M3260" s="309"/>
      <c r="AB3260" s="310"/>
    </row>
    <row r="3261" spans="13:28" s="308" customFormat="1" x14ac:dyDescent="0.2">
      <c r="M3261" s="309"/>
      <c r="AB3261" s="310"/>
    </row>
    <row r="3262" spans="13:28" s="308" customFormat="1" x14ac:dyDescent="0.2">
      <c r="M3262" s="309"/>
      <c r="AB3262" s="310"/>
    </row>
    <row r="3263" spans="13:28" s="308" customFormat="1" x14ac:dyDescent="0.2">
      <c r="M3263" s="309"/>
      <c r="AB3263" s="310"/>
    </row>
    <row r="3264" spans="13:28" s="308" customFormat="1" x14ac:dyDescent="0.2">
      <c r="M3264" s="309"/>
      <c r="AB3264" s="310"/>
    </row>
    <row r="3265" spans="13:28" s="308" customFormat="1" x14ac:dyDescent="0.2">
      <c r="M3265" s="309"/>
      <c r="AB3265" s="310"/>
    </row>
    <row r="3266" spans="13:28" s="308" customFormat="1" x14ac:dyDescent="0.2">
      <c r="M3266" s="309"/>
      <c r="AB3266" s="310"/>
    </row>
    <row r="3267" spans="13:28" s="308" customFormat="1" x14ac:dyDescent="0.2">
      <c r="M3267" s="309"/>
      <c r="AB3267" s="310"/>
    </row>
    <row r="3268" spans="13:28" s="308" customFormat="1" x14ac:dyDescent="0.2">
      <c r="M3268" s="309"/>
      <c r="AB3268" s="310"/>
    </row>
    <row r="3269" spans="13:28" s="308" customFormat="1" x14ac:dyDescent="0.2">
      <c r="M3269" s="309"/>
      <c r="AB3269" s="310"/>
    </row>
    <row r="3270" spans="13:28" s="308" customFormat="1" x14ac:dyDescent="0.2">
      <c r="M3270" s="309"/>
      <c r="AB3270" s="310"/>
    </row>
    <row r="3271" spans="13:28" s="308" customFormat="1" x14ac:dyDescent="0.2">
      <c r="M3271" s="309"/>
      <c r="AB3271" s="310"/>
    </row>
    <row r="3272" spans="13:28" s="308" customFormat="1" x14ac:dyDescent="0.2">
      <c r="M3272" s="309"/>
      <c r="AB3272" s="310"/>
    </row>
    <row r="3273" spans="13:28" s="308" customFormat="1" x14ac:dyDescent="0.2">
      <c r="M3273" s="309"/>
      <c r="AB3273" s="310"/>
    </row>
    <row r="3274" spans="13:28" s="308" customFormat="1" x14ac:dyDescent="0.2">
      <c r="M3274" s="309"/>
      <c r="AB3274" s="310"/>
    </row>
    <row r="3275" spans="13:28" s="308" customFormat="1" x14ac:dyDescent="0.2">
      <c r="M3275" s="309"/>
      <c r="AB3275" s="310"/>
    </row>
    <row r="3276" spans="13:28" s="308" customFormat="1" x14ac:dyDescent="0.2">
      <c r="M3276" s="309"/>
      <c r="AB3276" s="310"/>
    </row>
    <row r="3277" spans="13:28" s="308" customFormat="1" x14ac:dyDescent="0.2">
      <c r="M3277" s="309"/>
      <c r="AB3277" s="310"/>
    </row>
    <row r="3278" spans="13:28" s="308" customFormat="1" x14ac:dyDescent="0.2">
      <c r="M3278" s="309"/>
      <c r="AB3278" s="310"/>
    </row>
    <row r="3279" spans="13:28" s="308" customFormat="1" x14ac:dyDescent="0.2">
      <c r="M3279" s="309"/>
      <c r="AB3279" s="310"/>
    </row>
    <row r="3280" spans="13:28" s="308" customFormat="1" x14ac:dyDescent="0.2">
      <c r="M3280" s="309"/>
      <c r="AB3280" s="310"/>
    </row>
    <row r="3281" spans="13:28" s="308" customFormat="1" x14ac:dyDescent="0.2">
      <c r="M3281" s="309"/>
      <c r="AB3281" s="310"/>
    </row>
    <row r="3282" spans="13:28" s="308" customFormat="1" x14ac:dyDescent="0.2">
      <c r="M3282" s="309"/>
      <c r="AB3282" s="310"/>
    </row>
    <row r="3283" spans="13:28" s="308" customFormat="1" x14ac:dyDescent="0.2">
      <c r="M3283" s="309"/>
      <c r="AB3283" s="310"/>
    </row>
    <row r="3284" spans="13:28" s="308" customFormat="1" x14ac:dyDescent="0.2">
      <c r="M3284" s="309"/>
      <c r="AB3284" s="310"/>
    </row>
    <row r="3285" spans="13:28" s="308" customFormat="1" x14ac:dyDescent="0.2">
      <c r="M3285" s="309"/>
      <c r="AB3285" s="310"/>
    </row>
    <row r="3286" spans="13:28" s="308" customFormat="1" x14ac:dyDescent="0.2">
      <c r="M3286" s="309"/>
      <c r="AB3286" s="310"/>
    </row>
    <row r="3287" spans="13:28" s="308" customFormat="1" x14ac:dyDescent="0.2">
      <c r="M3287" s="309"/>
      <c r="AB3287" s="310"/>
    </row>
    <row r="3288" spans="13:28" s="308" customFormat="1" x14ac:dyDescent="0.2">
      <c r="M3288" s="309"/>
      <c r="AB3288" s="310"/>
    </row>
    <row r="3289" spans="13:28" s="308" customFormat="1" x14ac:dyDescent="0.2">
      <c r="M3289" s="309"/>
      <c r="AB3289" s="310"/>
    </row>
    <row r="3290" spans="13:28" s="308" customFormat="1" x14ac:dyDescent="0.2">
      <c r="M3290" s="309"/>
      <c r="AB3290" s="310"/>
    </row>
    <row r="3291" spans="13:28" s="308" customFormat="1" x14ac:dyDescent="0.2">
      <c r="M3291" s="309"/>
      <c r="AB3291" s="310"/>
    </row>
    <row r="3292" spans="13:28" s="308" customFormat="1" x14ac:dyDescent="0.2">
      <c r="M3292" s="309"/>
      <c r="AB3292" s="310"/>
    </row>
    <row r="3293" spans="13:28" s="308" customFormat="1" x14ac:dyDescent="0.2">
      <c r="M3293" s="309"/>
      <c r="AB3293" s="310"/>
    </row>
    <row r="3294" spans="13:28" s="308" customFormat="1" x14ac:dyDescent="0.2">
      <c r="M3294" s="309"/>
      <c r="AB3294" s="310"/>
    </row>
    <row r="3295" spans="13:28" s="308" customFormat="1" x14ac:dyDescent="0.2">
      <c r="M3295" s="309"/>
      <c r="AB3295" s="310"/>
    </row>
    <row r="3296" spans="13:28" s="308" customFormat="1" x14ac:dyDescent="0.2">
      <c r="M3296" s="309"/>
      <c r="AB3296" s="310"/>
    </row>
    <row r="3297" spans="13:28" s="308" customFormat="1" x14ac:dyDescent="0.2">
      <c r="M3297" s="309"/>
      <c r="AB3297" s="310"/>
    </row>
    <row r="3298" spans="13:28" s="308" customFormat="1" x14ac:dyDescent="0.2">
      <c r="M3298" s="309"/>
      <c r="AB3298" s="310"/>
    </row>
    <row r="3299" spans="13:28" s="308" customFormat="1" x14ac:dyDescent="0.2">
      <c r="M3299" s="309"/>
      <c r="AB3299" s="310"/>
    </row>
    <row r="3300" spans="13:28" s="308" customFormat="1" x14ac:dyDescent="0.2">
      <c r="M3300" s="309"/>
      <c r="AB3300" s="310"/>
    </row>
    <row r="3301" spans="13:28" s="308" customFormat="1" x14ac:dyDescent="0.2">
      <c r="M3301" s="309"/>
      <c r="AB3301" s="310"/>
    </row>
    <row r="3302" spans="13:28" s="308" customFormat="1" x14ac:dyDescent="0.2">
      <c r="M3302" s="309"/>
      <c r="AB3302" s="310"/>
    </row>
    <row r="3303" spans="13:28" s="308" customFormat="1" x14ac:dyDescent="0.2">
      <c r="M3303" s="309"/>
      <c r="AB3303" s="310"/>
    </row>
    <row r="3304" spans="13:28" s="308" customFormat="1" x14ac:dyDescent="0.2">
      <c r="M3304" s="309"/>
      <c r="AB3304" s="310"/>
    </row>
    <row r="3305" spans="13:28" s="308" customFormat="1" x14ac:dyDescent="0.2">
      <c r="M3305" s="309"/>
      <c r="AB3305" s="310"/>
    </row>
    <row r="3306" spans="13:28" s="308" customFormat="1" x14ac:dyDescent="0.2">
      <c r="M3306" s="309"/>
      <c r="AB3306" s="310"/>
    </row>
    <row r="3307" spans="13:28" s="308" customFormat="1" x14ac:dyDescent="0.2">
      <c r="M3307" s="309"/>
      <c r="AB3307" s="310"/>
    </row>
    <row r="3308" spans="13:28" s="308" customFormat="1" x14ac:dyDescent="0.2">
      <c r="M3308" s="309"/>
      <c r="AB3308" s="310"/>
    </row>
    <row r="3309" spans="13:28" s="308" customFormat="1" x14ac:dyDescent="0.2">
      <c r="M3309" s="309"/>
      <c r="AB3309" s="310"/>
    </row>
    <row r="3310" spans="13:28" s="308" customFormat="1" x14ac:dyDescent="0.2">
      <c r="M3310" s="309"/>
      <c r="AB3310" s="310"/>
    </row>
    <row r="3311" spans="13:28" s="308" customFormat="1" x14ac:dyDescent="0.2">
      <c r="M3311" s="309"/>
      <c r="AB3311" s="310"/>
    </row>
    <row r="3312" spans="13:28" s="308" customFormat="1" x14ac:dyDescent="0.2">
      <c r="M3312" s="309"/>
      <c r="AB3312" s="310"/>
    </row>
    <row r="3313" spans="13:28" s="308" customFormat="1" x14ac:dyDescent="0.2">
      <c r="M3313" s="309"/>
      <c r="AB3313" s="310"/>
    </row>
    <row r="3314" spans="13:28" s="308" customFormat="1" x14ac:dyDescent="0.2">
      <c r="M3314" s="309"/>
      <c r="AB3314" s="310"/>
    </row>
    <row r="3315" spans="13:28" s="308" customFormat="1" x14ac:dyDescent="0.2">
      <c r="M3315" s="309"/>
      <c r="AB3315" s="310"/>
    </row>
    <row r="3316" spans="13:28" s="308" customFormat="1" x14ac:dyDescent="0.2">
      <c r="M3316" s="309"/>
      <c r="AB3316" s="310"/>
    </row>
    <row r="3317" spans="13:28" s="308" customFormat="1" x14ac:dyDescent="0.2">
      <c r="M3317" s="309"/>
      <c r="AB3317" s="310"/>
    </row>
    <row r="3318" spans="13:28" s="308" customFormat="1" x14ac:dyDescent="0.2">
      <c r="M3318" s="309"/>
      <c r="AB3318" s="310"/>
    </row>
    <row r="3319" spans="13:28" s="308" customFormat="1" x14ac:dyDescent="0.2">
      <c r="M3319" s="309"/>
      <c r="AB3319" s="310"/>
    </row>
    <row r="3320" spans="13:28" s="308" customFormat="1" x14ac:dyDescent="0.2">
      <c r="M3320" s="309"/>
      <c r="AB3320" s="310"/>
    </row>
    <row r="3321" spans="13:28" s="308" customFormat="1" x14ac:dyDescent="0.2">
      <c r="M3321" s="309"/>
      <c r="AB3321" s="310"/>
    </row>
    <row r="3322" spans="13:28" s="308" customFormat="1" x14ac:dyDescent="0.2">
      <c r="M3322" s="309"/>
      <c r="AB3322" s="310"/>
    </row>
    <row r="3323" spans="13:28" s="308" customFormat="1" x14ac:dyDescent="0.2">
      <c r="M3323" s="309"/>
      <c r="AB3323" s="310"/>
    </row>
    <row r="3324" spans="13:28" s="308" customFormat="1" x14ac:dyDescent="0.2">
      <c r="M3324" s="309"/>
      <c r="AB3324" s="310"/>
    </row>
    <row r="3325" spans="13:28" s="308" customFormat="1" x14ac:dyDescent="0.2">
      <c r="M3325" s="309"/>
      <c r="AB3325" s="310"/>
    </row>
    <row r="3326" spans="13:28" s="308" customFormat="1" x14ac:dyDescent="0.2">
      <c r="M3326" s="309"/>
      <c r="AB3326" s="310"/>
    </row>
    <row r="3327" spans="13:28" s="308" customFormat="1" x14ac:dyDescent="0.2">
      <c r="M3327" s="309"/>
      <c r="AB3327" s="310"/>
    </row>
    <row r="3328" spans="13:28" s="308" customFormat="1" x14ac:dyDescent="0.2">
      <c r="M3328" s="309"/>
      <c r="AB3328" s="310"/>
    </row>
    <row r="3329" spans="13:28" s="308" customFormat="1" x14ac:dyDescent="0.2">
      <c r="M3329" s="309"/>
      <c r="AB3329" s="310"/>
    </row>
    <row r="3330" spans="13:28" s="308" customFormat="1" x14ac:dyDescent="0.2">
      <c r="M3330" s="309"/>
      <c r="AB3330" s="310"/>
    </row>
    <row r="3331" spans="13:28" s="308" customFormat="1" x14ac:dyDescent="0.2">
      <c r="M3331" s="309"/>
      <c r="AB3331" s="310"/>
    </row>
    <row r="3332" spans="13:28" s="308" customFormat="1" x14ac:dyDescent="0.2">
      <c r="M3332" s="309"/>
      <c r="AB3332" s="310"/>
    </row>
    <row r="3333" spans="13:28" s="308" customFormat="1" x14ac:dyDescent="0.2">
      <c r="M3333" s="309"/>
      <c r="AB3333" s="310"/>
    </row>
    <row r="3334" spans="13:28" s="308" customFormat="1" x14ac:dyDescent="0.2">
      <c r="M3334" s="309"/>
      <c r="AB3334" s="310"/>
    </row>
    <row r="3335" spans="13:28" s="308" customFormat="1" x14ac:dyDescent="0.2">
      <c r="M3335" s="309"/>
      <c r="AB3335" s="310"/>
    </row>
    <row r="3336" spans="13:28" s="308" customFormat="1" x14ac:dyDescent="0.2">
      <c r="M3336" s="309"/>
      <c r="AB3336" s="310"/>
    </row>
    <row r="3337" spans="13:28" s="308" customFormat="1" x14ac:dyDescent="0.2">
      <c r="M3337" s="309"/>
      <c r="AB3337" s="310"/>
    </row>
    <row r="3338" spans="13:28" s="308" customFormat="1" x14ac:dyDescent="0.2">
      <c r="M3338" s="309"/>
      <c r="AB3338" s="310"/>
    </row>
    <row r="3339" spans="13:28" s="308" customFormat="1" x14ac:dyDescent="0.2">
      <c r="M3339" s="309"/>
      <c r="AB3339" s="310"/>
    </row>
    <row r="3340" spans="13:28" s="308" customFormat="1" x14ac:dyDescent="0.2">
      <c r="M3340" s="309"/>
      <c r="AB3340" s="310"/>
    </row>
    <row r="3341" spans="13:28" s="308" customFormat="1" x14ac:dyDescent="0.2">
      <c r="M3341" s="309"/>
      <c r="AB3341" s="310"/>
    </row>
    <row r="3342" spans="13:28" s="308" customFormat="1" x14ac:dyDescent="0.2">
      <c r="M3342" s="309"/>
      <c r="AB3342" s="310"/>
    </row>
    <row r="3343" spans="13:28" s="308" customFormat="1" x14ac:dyDescent="0.2">
      <c r="M3343" s="309"/>
      <c r="AB3343" s="310"/>
    </row>
    <row r="3344" spans="13:28" s="308" customFormat="1" x14ac:dyDescent="0.2">
      <c r="M3344" s="309"/>
      <c r="AB3344" s="310"/>
    </row>
    <row r="3345" spans="13:28" s="308" customFormat="1" x14ac:dyDescent="0.2">
      <c r="M3345" s="309"/>
      <c r="AB3345" s="310"/>
    </row>
    <row r="3346" spans="13:28" s="308" customFormat="1" x14ac:dyDescent="0.2">
      <c r="M3346" s="309"/>
      <c r="AB3346" s="310"/>
    </row>
    <row r="3347" spans="13:28" s="308" customFormat="1" x14ac:dyDescent="0.2">
      <c r="M3347" s="309"/>
      <c r="AB3347" s="310"/>
    </row>
    <row r="3348" spans="13:28" s="308" customFormat="1" x14ac:dyDescent="0.2">
      <c r="M3348" s="309"/>
      <c r="AB3348" s="310"/>
    </row>
    <row r="3349" spans="13:28" s="308" customFormat="1" x14ac:dyDescent="0.2">
      <c r="M3349" s="309"/>
      <c r="AB3349" s="310"/>
    </row>
    <row r="3350" spans="13:28" s="308" customFormat="1" x14ac:dyDescent="0.2">
      <c r="M3350" s="309"/>
      <c r="AB3350" s="310"/>
    </row>
    <row r="3351" spans="13:28" s="308" customFormat="1" x14ac:dyDescent="0.2">
      <c r="M3351" s="309"/>
      <c r="AB3351" s="310"/>
    </row>
    <row r="3352" spans="13:28" s="308" customFormat="1" x14ac:dyDescent="0.2">
      <c r="M3352" s="309"/>
      <c r="AB3352" s="310"/>
    </row>
    <row r="3353" spans="13:28" s="308" customFormat="1" x14ac:dyDescent="0.2">
      <c r="M3353" s="309"/>
      <c r="AB3353" s="310"/>
    </row>
    <row r="3354" spans="13:28" s="308" customFormat="1" x14ac:dyDescent="0.2">
      <c r="M3354" s="309"/>
      <c r="AB3354" s="310"/>
    </row>
    <row r="3355" spans="13:28" s="308" customFormat="1" x14ac:dyDescent="0.2">
      <c r="M3355" s="309"/>
      <c r="AB3355" s="310"/>
    </row>
    <row r="3356" spans="13:28" s="308" customFormat="1" x14ac:dyDescent="0.2">
      <c r="M3356" s="309"/>
      <c r="AB3356" s="310"/>
    </row>
    <row r="3357" spans="13:28" s="308" customFormat="1" x14ac:dyDescent="0.2">
      <c r="M3357" s="309"/>
      <c r="AB3357" s="310"/>
    </row>
    <row r="3358" spans="13:28" s="308" customFormat="1" x14ac:dyDescent="0.2">
      <c r="M3358" s="309"/>
      <c r="AB3358" s="310"/>
    </row>
    <row r="3359" spans="13:28" s="308" customFormat="1" x14ac:dyDescent="0.2">
      <c r="M3359" s="309"/>
      <c r="AB3359" s="310"/>
    </row>
    <row r="3360" spans="13:28" s="308" customFormat="1" x14ac:dyDescent="0.2">
      <c r="M3360" s="309"/>
      <c r="AB3360" s="310"/>
    </row>
    <row r="3361" spans="13:28" s="308" customFormat="1" x14ac:dyDescent="0.2">
      <c r="M3361" s="309"/>
      <c r="AB3361" s="310"/>
    </row>
    <row r="3362" spans="13:28" s="308" customFormat="1" x14ac:dyDescent="0.2">
      <c r="M3362" s="309"/>
      <c r="AB3362" s="310"/>
    </row>
    <row r="3363" spans="13:28" s="308" customFormat="1" x14ac:dyDescent="0.2">
      <c r="M3363" s="309"/>
      <c r="AB3363" s="310"/>
    </row>
    <row r="3364" spans="13:28" s="308" customFormat="1" x14ac:dyDescent="0.2">
      <c r="M3364" s="309"/>
      <c r="AB3364" s="310"/>
    </row>
    <row r="3365" spans="13:28" s="308" customFormat="1" x14ac:dyDescent="0.2">
      <c r="M3365" s="309"/>
      <c r="AB3365" s="310"/>
    </row>
    <row r="3366" spans="13:28" s="308" customFormat="1" x14ac:dyDescent="0.2">
      <c r="M3366" s="309"/>
      <c r="AB3366" s="310"/>
    </row>
    <row r="3367" spans="13:28" s="308" customFormat="1" x14ac:dyDescent="0.2">
      <c r="M3367" s="309"/>
      <c r="AB3367" s="310"/>
    </row>
    <row r="3368" spans="13:28" s="308" customFormat="1" x14ac:dyDescent="0.2">
      <c r="M3368" s="309"/>
      <c r="AB3368" s="310"/>
    </row>
    <row r="3369" spans="13:28" s="308" customFormat="1" x14ac:dyDescent="0.2">
      <c r="M3369" s="309"/>
      <c r="AB3369" s="310"/>
    </row>
    <row r="3370" spans="13:28" s="308" customFormat="1" x14ac:dyDescent="0.2">
      <c r="M3370" s="309"/>
      <c r="AB3370" s="310"/>
    </row>
    <row r="3371" spans="13:28" s="308" customFormat="1" x14ac:dyDescent="0.2">
      <c r="M3371" s="309"/>
      <c r="AB3371" s="310"/>
    </row>
    <row r="3372" spans="13:28" s="308" customFormat="1" x14ac:dyDescent="0.2">
      <c r="M3372" s="309"/>
      <c r="AB3372" s="310"/>
    </row>
    <row r="3373" spans="13:28" s="308" customFormat="1" x14ac:dyDescent="0.2">
      <c r="M3373" s="309"/>
      <c r="AB3373" s="310"/>
    </row>
    <row r="3374" spans="13:28" s="308" customFormat="1" x14ac:dyDescent="0.2">
      <c r="M3374" s="309"/>
      <c r="AB3374" s="310"/>
    </row>
    <row r="3375" spans="13:28" s="308" customFormat="1" x14ac:dyDescent="0.2">
      <c r="M3375" s="309"/>
      <c r="AB3375" s="310"/>
    </row>
    <row r="3376" spans="13:28" s="308" customFormat="1" x14ac:dyDescent="0.2">
      <c r="M3376" s="309"/>
      <c r="AB3376" s="310"/>
    </row>
    <row r="3377" spans="13:28" s="308" customFormat="1" x14ac:dyDescent="0.2">
      <c r="M3377" s="309"/>
      <c r="AB3377" s="310"/>
    </row>
    <row r="3378" spans="13:28" s="308" customFormat="1" x14ac:dyDescent="0.2">
      <c r="M3378" s="309"/>
      <c r="AB3378" s="310"/>
    </row>
    <row r="3379" spans="13:28" s="308" customFormat="1" x14ac:dyDescent="0.2">
      <c r="M3379" s="309"/>
      <c r="AB3379" s="310"/>
    </row>
    <row r="3380" spans="13:28" s="308" customFormat="1" x14ac:dyDescent="0.2">
      <c r="M3380" s="309"/>
      <c r="AB3380" s="310"/>
    </row>
    <row r="3381" spans="13:28" s="308" customFormat="1" x14ac:dyDescent="0.2">
      <c r="M3381" s="309"/>
      <c r="AB3381" s="310"/>
    </row>
    <row r="3382" spans="13:28" s="308" customFormat="1" x14ac:dyDescent="0.2">
      <c r="M3382" s="309"/>
      <c r="AB3382" s="310"/>
    </row>
    <row r="3383" spans="13:28" s="308" customFormat="1" x14ac:dyDescent="0.2">
      <c r="M3383" s="309"/>
      <c r="AB3383" s="310"/>
    </row>
    <row r="3384" spans="13:28" s="308" customFormat="1" x14ac:dyDescent="0.2">
      <c r="M3384" s="309"/>
      <c r="AB3384" s="310"/>
    </row>
    <row r="3385" spans="13:28" s="308" customFormat="1" x14ac:dyDescent="0.2">
      <c r="M3385" s="309"/>
      <c r="AB3385" s="310"/>
    </row>
    <row r="3386" spans="13:28" s="308" customFormat="1" x14ac:dyDescent="0.2">
      <c r="M3386" s="309"/>
      <c r="AB3386" s="310"/>
    </row>
    <row r="3387" spans="13:28" s="308" customFormat="1" x14ac:dyDescent="0.2">
      <c r="M3387" s="309"/>
      <c r="AB3387" s="310"/>
    </row>
    <row r="3388" spans="13:28" s="308" customFormat="1" x14ac:dyDescent="0.2">
      <c r="M3388" s="309"/>
      <c r="AB3388" s="310"/>
    </row>
    <row r="3389" spans="13:28" s="308" customFormat="1" x14ac:dyDescent="0.2">
      <c r="M3389" s="309"/>
      <c r="AB3389" s="310"/>
    </row>
    <row r="3390" spans="13:28" s="308" customFormat="1" x14ac:dyDescent="0.2">
      <c r="M3390" s="309"/>
      <c r="AB3390" s="310"/>
    </row>
    <row r="3391" spans="13:28" s="308" customFormat="1" x14ac:dyDescent="0.2">
      <c r="M3391" s="309"/>
      <c r="AB3391" s="310"/>
    </row>
    <row r="3392" spans="13:28" s="308" customFormat="1" x14ac:dyDescent="0.2">
      <c r="M3392" s="309"/>
      <c r="AB3392" s="310"/>
    </row>
    <row r="3393" spans="13:28" s="308" customFormat="1" x14ac:dyDescent="0.2">
      <c r="M3393" s="309"/>
      <c r="AB3393" s="310"/>
    </row>
    <row r="3394" spans="13:28" s="308" customFormat="1" x14ac:dyDescent="0.2">
      <c r="M3394" s="309"/>
      <c r="AB3394" s="310"/>
    </row>
    <row r="3395" spans="13:28" s="308" customFormat="1" x14ac:dyDescent="0.2">
      <c r="M3395" s="309"/>
      <c r="AB3395" s="310"/>
    </row>
    <row r="3396" spans="13:28" s="308" customFormat="1" x14ac:dyDescent="0.2">
      <c r="M3396" s="309"/>
      <c r="AB3396" s="310"/>
    </row>
    <row r="3397" spans="13:28" s="308" customFormat="1" x14ac:dyDescent="0.2">
      <c r="M3397" s="309"/>
      <c r="AB3397" s="310"/>
    </row>
    <row r="3398" spans="13:28" s="308" customFormat="1" x14ac:dyDescent="0.2">
      <c r="M3398" s="309"/>
      <c r="AB3398" s="310"/>
    </row>
    <row r="3399" spans="13:28" s="308" customFormat="1" x14ac:dyDescent="0.2">
      <c r="M3399" s="309"/>
      <c r="AB3399" s="310"/>
    </row>
    <row r="3400" spans="13:28" s="308" customFormat="1" x14ac:dyDescent="0.2">
      <c r="M3400" s="309"/>
      <c r="AB3400" s="310"/>
    </row>
    <row r="3401" spans="13:28" s="308" customFormat="1" x14ac:dyDescent="0.2">
      <c r="M3401" s="309"/>
      <c r="AB3401" s="310"/>
    </row>
    <row r="3402" spans="13:28" s="308" customFormat="1" x14ac:dyDescent="0.2">
      <c r="M3402" s="309"/>
      <c r="AB3402" s="310"/>
    </row>
    <row r="3403" spans="13:28" s="308" customFormat="1" x14ac:dyDescent="0.2">
      <c r="M3403" s="309"/>
      <c r="AB3403" s="310"/>
    </row>
    <row r="3404" spans="13:28" s="308" customFormat="1" x14ac:dyDescent="0.2">
      <c r="M3404" s="309"/>
      <c r="AB3404" s="310"/>
    </row>
    <row r="3405" spans="13:28" s="308" customFormat="1" x14ac:dyDescent="0.2">
      <c r="M3405" s="309"/>
      <c r="AB3405" s="310"/>
    </row>
    <row r="3406" spans="13:28" s="308" customFormat="1" x14ac:dyDescent="0.2">
      <c r="M3406" s="309"/>
      <c r="AB3406" s="310"/>
    </row>
    <row r="3407" spans="13:28" s="308" customFormat="1" x14ac:dyDescent="0.2">
      <c r="M3407" s="309"/>
      <c r="AB3407" s="310"/>
    </row>
    <row r="3408" spans="13:28" s="308" customFormat="1" x14ac:dyDescent="0.2">
      <c r="M3408" s="309"/>
      <c r="AB3408" s="310"/>
    </row>
    <row r="3409" spans="13:28" s="308" customFormat="1" x14ac:dyDescent="0.2">
      <c r="M3409" s="309"/>
      <c r="AB3409" s="310"/>
    </row>
    <row r="3410" spans="13:28" s="308" customFormat="1" x14ac:dyDescent="0.2">
      <c r="M3410" s="309"/>
      <c r="AB3410" s="310"/>
    </row>
    <row r="3411" spans="13:28" s="308" customFormat="1" x14ac:dyDescent="0.2">
      <c r="M3411" s="309"/>
      <c r="AB3411" s="310"/>
    </row>
    <row r="3412" spans="13:28" s="308" customFormat="1" x14ac:dyDescent="0.2">
      <c r="M3412" s="309"/>
      <c r="AB3412" s="310"/>
    </row>
    <row r="3413" spans="13:28" s="308" customFormat="1" x14ac:dyDescent="0.2">
      <c r="M3413" s="309"/>
      <c r="AB3413" s="310"/>
    </row>
    <row r="3414" spans="13:28" s="308" customFormat="1" x14ac:dyDescent="0.2">
      <c r="M3414" s="309"/>
      <c r="AB3414" s="310"/>
    </row>
    <row r="3415" spans="13:28" s="308" customFormat="1" x14ac:dyDescent="0.2">
      <c r="M3415" s="309"/>
      <c r="AB3415" s="310"/>
    </row>
    <row r="3416" spans="13:28" s="308" customFormat="1" x14ac:dyDescent="0.2">
      <c r="M3416" s="309"/>
      <c r="AB3416" s="310"/>
    </row>
    <row r="3417" spans="13:28" s="308" customFormat="1" x14ac:dyDescent="0.2">
      <c r="M3417" s="309"/>
      <c r="AB3417" s="310"/>
    </row>
    <row r="3418" spans="13:28" s="308" customFormat="1" x14ac:dyDescent="0.2">
      <c r="M3418" s="309"/>
      <c r="AB3418" s="310"/>
    </row>
    <row r="3419" spans="13:28" s="308" customFormat="1" x14ac:dyDescent="0.2">
      <c r="M3419" s="309"/>
      <c r="AB3419" s="310"/>
    </row>
    <row r="3420" spans="13:28" s="308" customFormat="1" x14ac:dyDescent="0.2">
      <c r="M3420" s="309"/>
      <c r="AB3420" s="310"/>
    </row>
    <row r="3421" spans="13:28" s="308" customFormat="1" x14ac:dyDescent="0.2">
      <c r="M3421" s="309"/>
      <c r="AB3421" s="310"/>
    </row>
    <row r="3422" spans="13:28" s="308" customFormat="1" x14ac:dyDescent="0.2">
      <c r="M3422" s="309"/>
      <c r="AB3422" s="310"/>
    </row>
    <row r="3423" spans="13:28" s="308" customFormat="1" x14ac:dyDescent="0.2">
      <c r="M3423" s="309"/>
      <c r="AB3423" s="310"/>
    </row>
    <row r="3424" spans="13:28" s="308" customFormat="1" x14ac:dyDescent="0.2">
      <c r="M3424" s="309"/>
      <c r="AB3424" s="310"/>
    </row>
    <row r="3425" spans="13:28" s="308" customFormat="1" x14ac:dyDescent="0.2">
      <c r="M3425" s="309"/>
      <c r="AB3425" s="310"/>
    </row>
    <row r="3426" spans="13:28" s="308" customFormat="1" x14ac:dyDescent="0.2">
      <c r="M3426" s="309"/>
      <c r="AB3426" s="310"/>
    </row>
    <row r="3427" spans="13:28" s="308" customFormat="1" x14ac:dyDescent="0.2">
      <c r="M3427" s="309"/>
      <c r="AB3427" s="310"/>
    </row>
    <row r="3428" spans="13:28" s="308" customFormat="1" x14ac:dyDescent="0.2">
      <c r="M3428" s="309"/>
      <c r="AB3428" s="310"/>
    </row>
    <row r="3429" spans="13:28" s="308" customFormat="1" x14ac:dyDescent="0.2">
      <c r="M3429" s="309"/>
      <c r="AB3429" s="310"/>
    </row>
    <row r="3430" spans="13:28" s="308" customFormat="1" x14ac:dyDescent="0.2">
      <c r="M3430" s="309"/>
      <c r="AB3430" s="310"/>
    </row>
    <row r="3431" spans="13:28" s="308" customFormat="1" x14ac:dyDescent="0.2">
      <c r="M3431" s="309"/>
      <c r="AB3431" s="310"/>
    </row>
    <row r="3432" spans="13:28" s="308" customFormat="1" x14ac:dyDescent="0.2">
      <c r="M3432" s="309"/>
      <c r="AB3432" s="310"/>
    </row>
    <row r="3433" spans="13:28" s="308" customFormat="1" x14ac:dyDescent="0.2">
      <c r="M3433" s="309"/>
      <c r="AB3433" s="310"/>
    </row>
    <row r="3434" spans="13:28" s="308" customFormat="1" x14ac:dyDescent="0.2">
      <c r="M3434" s="309"/>
      <c r="AB3434" s="310"/>
    </row>
    <row r="3435" spans="13:28" s="308" customFormat="1" x14ac:dyDescent="0.2">
      <c r="M3435" s="309"/>
      <c r="AB3435" s="310"/>
    </row>
    <row r="3436" spans="13:28" s="308" customFormat="1" x14ac:dyDescent="0.2">
      <c r="M3436" s="309"/>
      <c r="AB3436" s="310"/>
    </row>
    <row r="3437" spans="13:28" s="308" customFormat="1" x14ac:dyDescent="0.2">
      <c r="M3437" s="309"/>
      <c r="AB3437" s="310"/>
    </row>
    <row r="3438" spans="13:28" s="308" customFormat="1" x14ac:dyDescent="0.2">
      <c r="M3438" s="309"/>
      <c r="AB3438" s="310"/>
    </row>
    <row r="3439" spans="13:28" s="308" customFormat="1" x14ac:dyDescent="0.2">
      <c r="M3439" s="309"/>
      <c r="AB3439" s="310"/>
    </row>
    <row r="3440" spans="13:28" s="308" customFormat="1" x14ac:dyDescent="0.2">
      <c r="M3440" s="309"/>
      <c r="AB3440" s="310"/>
    </row>
    <row r="3441" spans="13:28" s="308" customFormat="1" x14ac:dyDescent="0.2">
      <c r="M3441" s="309"/>
      <c r="AB3441" s="310"/>
    </row>
    <row r="3442" spans="13:28" s="308" customFormat="1" x14ac:dyDescent="0.2">
      <c r="M3442" s="309"/>
      <c r="AB3442" s="310"/>
    </row>
    <row r="3443" spans="13:28" s="308" customFormat="1" x14ac:dyDescent="0.2">
      <c r="M3443" s="309"/>
      <c r="AB3443" s="310"/>
    </row>
    <row r="3444" spans="13:28" s="308" customFormat="1" x14ac:dyDescent="0.2">
      <c r="M3444" s="309"/>
      <c r="AB3444" s="310"/>
    </row>
    <row r="3445" spans="13:28" s="308" customFormat="1" x14ac:dyDescent="0.2">
      <c r="M3445" s="309"/>
      <c r="AB3445" s="310"/>
    </row>
    <row r="3446" spans="13:28" s="308" customFormat="1" x14ac:dyDescent="0.2">
      <c r="M3446" s="309"/>
      <c r="AB3446" s="310"/>
    </row>
    <row r="3447" spans="13:28" s="308" customFormat="1" x14ac:dyDescent="0.2">
      <c r="M3447" s="309"/>
      <c r="AB3447" s="310"/>
    </row>
    <row r="3448" spans="13:28" s="308" customFormat="1" x14ac:dyDescent="0.2">
      <c r="M3448" s="309"/>
      <c r="AB3448" s="310"/>
    </row>
    <row r="3449" spans="13:28" s="308" customFormat="1" x14ac:dyDescent="0.2">
      <c r="M3449" s="309"/>
      <c r="AB3449" s="310"/>
    </row>
    <row r="3450" spans="13:28" s="308" customFormat="1" x14ac:dyDescent="0.2">
      <c r="M3450" s="309"/>
      <c r="AB3450" s="310"/>
    </row>
    <row r="3451" spans="13:28" s="308" customFormat="1" x14ac:dyDescent="0.2">
      <c r="M3451" s="309"/>
      <c r="AB3451" s="310"/>
    </row>
    <row r="3452" spans="13:28" s="308" customFormat="1" x14ac:dyDescent="0.2">
      <c r="M3452" s="309"/>
      <c r="AB3452" s="310"/>
    </row>
    <row r="3453" spans="13:28" s="308" customFormat="1" x14ac:dyDescent="0.2">
      <c r="M3453" s="309"/>
      <c r="AB3453" s="310"/>
    </row>
    <row r="3454" spans="13:28" s="308" customFormat="1" x14ac:dyDescent="0.2">
      <c r="M3454" s="309"/>
      <c r="AB3454" s="310"/>
    </row>
    <row r="3455" spans="13:28" s="308" customFormat="1" x14ac:dyDescent="0.2">
      <c r="M3455" s="309"/>
      <c r="AB3455" s="310"/>
    </row>
    <row r="3456" spans="13:28" s="308" customFormat="1" x14ac:dyDescent="0.2">
      <c r="M3456" s="309"/>
      <c r="AB3456" s="310"/>
    </row>
    <row r="3457" spans="13:28" s="308" customFormat="1" x14ac:dyDescent="0.2">
      <c r="M3457" s="309"/>
      <c r="AB3457" s="310"/>
    </row>
    <row r="3458" spans="13:28" s="308" customFormat="1" x14ac:dyDescent="0.2">
      <c r="M3458" s="309"/>
      <c r="AB3458" s="310"/>
    </row>
    <row r="3459" spans="13:28" s="308" customFormat="1" x14ac:dyDescent="0.2">
      <c r="M3459" s="309"/>
      <c r="AB3459" s="310"/>
    </row>
    <row r="3460" spans="13:28" s="308" customFormat="1" x14ac:dyDescent="0.2">
      <c r="M3460" s="309"/>
      <c r="AB3460" s="310"/>
    </row>
    <row r="3461" spans="13:28" s="308" customFormat="1" x14ac:dyDescent="0.2">
      <c r="M3461" s="309"/>
      <c r="AB3461" s="310"/>
    </row>
    <row r="3462" spans="13:28" s="308" customFormat="1" x14ac:dyDescent="0.2">
      <c r="M3462" s="309"/>
      <c r="AB3462" s="310"/>
    </row>
    <row r="3463" spans="13:28" s="308" customFormat="1" x14ac:dyDescent="0.2">
      <c r="M3463" s="309"/>
      <c r="AB3463" s="310"/>
    </row>
    <row r="3464" spans="13:28" s="308" customFormat="1" x14ac:dyDescent="0.2">
      <c r="M3464" s="309"/>
      <c r="AB3464" s="310"/>
    </row>
    <row r="3465" spans="13:28" s="308" customFormat="1" x14ac:dyDescent="0.2">
      <c r="M3465" s="309"/>
      <c r="AB3465" s="310"/>
    </row>
    <row r="3466" spans="13:28" s="308" customFormat="1" x14ac:dyDescent="0.2">
      <c r="M3466" s="309"/>
      <c r="AB3466" s="310"/>
    </row>
    <row r="3467" spans="13:28" s="308" customFormat="1" x14ac:dyDescent="0.2">
      <c r="M3467" s="309"/>
      <c r="AB3467" s="310"/>
    </row>
    <row r="3468" spans="13:28" s="308" customFormat="1" x14ac:dyDescent="0.2">
      <c r="M3468" s="309"/>
      <c r="AB3468" s="310"/>
    </row>
    <row r="3469" spans="13:28" s="308" customFormat="1" x14ac:dyDescent="0.2">
      <c r="M3469" s="309"/>
      <c r="AB3469" s="310"/>
    </row>
    <row r="3470" spans="13:28" s="308" customFormat="1" x14ac:dyDescent="0.2">
      <c r="M3470" s="309"/>
      <c r="AB3470" s="310"/>
    </row>
    <row r="3471" spans="13:28" s="308" customFormat="1" x14ac:dyDescent="0.2">
      <c r="M3471" s="309"/>
      <c r="AB3471" s="310"/>
    </row>
    <row r="3472" spans="13:28" s="308" customFormat="1" x14ac:dyDescent="0.2">
      <c r="M3472" s="309"/>
      <c r="AB3472" s="310"/>
    </row>
    <row r="3473" spans="13:28" s="308" customFormat="1" x14ac:dyDescent="0.2">
      <c r="M3473" s="309"/>
      <c r="AB3473" s="310"/>
    </row>
    <row r="3474" spans="13:28" s="308" customFormat="1" x14ac:dyDescent="0.2">
      <c r="M3474" s="309"/>
      <c r="AB3474" s="310"/>
    </row>
    <row r="3475" spans="13:28" s="308" customFormat="1" x14ac:dyDescent="0.2">
      <c r="M3475" s="309"/>
      <c r="AB3475" s="310"/>
    </row>
    <row r="3476" spans="13:28" s="308" customFormat="1" x14ac:dyDescent="0.2">
      <c r="M3476" s="309"/>
      <c r="AB3476" s="310"/>
    </row>
    <row r="3477" spans="13:28" s="308" customFormat="1" x14ac:dyDescent="0.2">
      <c r="M3477" s="309"/>
      <c r="AB3477" s="310"/>
    </row>
    <row r="3478" spans="13:28" s="308" customFormat="1" x14ac:dyDescent="0.2">
      <c r="M3478" s="309"/>
      <c r="AB3478" s="310"/>
    </row>
    <row r="3479" spans="13:28" s="308" customFormat="1" x14ac:dyDescent="0.2">
      <c r="M3479" s="309"/>
      <c r="AB3479" s="310"/>
    </row>
    <row r="3480" spans="13:28" s="308" customFormat="1" x14ac:dyDescent="0.2">
      <c r="M3480" s="309"/>
      <c r="AB3480" s="310"/>
    </row>
    <row r="3481" spans="13:28" s="308" customFormat="1" x14ac:dyDescent="0.2">
      <c r="M3481" s="309"/>
      <c r="AB3481" s="310"/>
    </row>
    <row r="3482" spans="13:28" s="308" customFormat="1" x14ac:dyDescent="0.2">
      <c r="M3482" s="309"/>
      <c r="AB3482" s="310"/>
    </row>
    <row r="3483" spans="13:28" s="308" customFormat="1" x14ac:dyDescent="0.2">
      <c r="M3483" s="309"/>
      <c r="AB3483" s="310"/>
    </row>
    <row r="3484" spans="13:28" s="308" customFormat="1" x14ac:dyDescent="0.2">
      <c r="M3484" s="309"/>
      <c r="AB3484" s="310"/>
    </row>
    <row r="3485" spans="13:28" s="308" customFormat="1" x14ac:dyDescent="0.2">
      <c r="M3485" s="309"/>
      <c r="AB3485" s="310"/>
    </row>
    <row r="3486" spans="13:28" s="308" customFormat="1" x14ac:dyDescent="0.2">
      <c r="M3486" s="309"/>
      <c r="AB3486" s="310"/>
    </row>
    <row r="3487" spans="13:28" s="308" customFormat="1" x14ac:dyDescent="0.2">
      <c r="M3487" s="309"/>
      <c r="AB3487" s="310"/>
    </row>
    <row r="3488" spans="13:28" s="308" customFormat="1" x14ac:dyDescent="0.2">
      <c r="M3488" s="309"/>
      <c r="AB3488" s="310"/>
    </row>
    <row r="3489" spans="13:28" s="308" customFormat="1" x14ac:dyDescent="0.2">
      <c r="M3489" s="309"/>
      <c r="AB3489" s="310"/>
    </row>
    <row r="3490" spans="13:28" s="308" customFormat="1" x14ac:dyDescent="0.2">
      <c r="M3490" s="309"/>
      <c r="AB3490" s="310"/>
    </row>
    <row r="3491" spans="13:28" s="308" customFormat="1" x14ac:dyDescent="0.2">
      <c r="M3491" s="309"/>
      <c r="AB3491" s="310"/>
    </row>
    <row r="3492" spans="13:28" s="308" customFormat="1" x14ac:dyDescent="0.2">
      <c r="M3492" s="309"/>
      <c r="AB3492" s="310"/>
    </row>
    <row r="3493" spans="13:28" s="308" customFormat="1" x14ac:dyDescent="0.2">
      <c r="M3493" s="309"/>
      <c r="AB3493" s="310"/>
    </row>
    <row r="3494" spans="13:28" s="308" customFormat="1" x14ac:dyDescent="0.2">
      <c r="M3494" s="309"/>
      <c r="AB3494" s="310"/>
    </row>
    <row r="3495" spans="13:28" s="308" customFormat="1" x14ac:dyDescent="0.2">
      <c r="M3495" s="309"/>
      <c r="AB3495" s="310"/>
    </row>
    <row r="3496" spans="13:28" s="308" customFormat="1" x14ac:dyDescent="0.2">
      <c r="M3496" s="309"/>
      <c r="AB3496" s="310"/>
    </row>
    <row r="3497" spans="13:28" s="308" customFormat="1" x14ac:dyDescent="0.2">
      <c r="M3497" s="309"/>
      <c r="AB3497" s="310"/>
    </row>
    <row r="3498" spans="13:28" s="308" customFormat="1" x14ac:dyDescent="0.2">
      <c r="M3498" s="309"/>
      <c r="AB3498" s="310"/>
    </row>
    <row r="3499" spans="13:28" s="308" customFormat="1" x14ac:dyDescent="0.2">
      <c r="M3499" s="309"/>
      <c r="AB3499" s="310"/>
    </row>
    <row r="3500" spans="13:28" s="308" customFormat="1" x14ac:dyDescent="0.2">
      <c r="M3500" s="309"/>
      <c r="AB3500" s="310"/>
    </row>
    <row r="3501" spans="13:28" s="308" customFormat="1" x14ac:dyDescent="0.2">
      <c r="M3501" s="309"/>
      <c r="AB3501" s="310"/>
    </row>
    <row r="3502" spans="13:28" s="308" customFormat="1" x14ac:dyDescent="0.2">
      <c r="M3502" s="309"/>
      <c r="AB3502" s="310"/>
    </row>
    <row r="3503" spans="13:28" s="308" customFormat="1" x14ac:dyDescent="0.2">
      <c r="M3503" s="309"/>
      <c r="AB3503" s="310"/>
    </row>
    <row r="3504" spans="13:28" s="308" customFormat="1" x14ac:dyDescent="0.2">
      <c r="M3504" s="309"/>
      <c r="AB3504" s="310"/>
    </row>
    <row r="3505" spans="13:28" s="308" customFormat="1" x14ac:dyDescent="0.2">
      <c r="M3505" s="309"/>
      <c r="AB3505" s="310"/>
    </row>
    <row r="3506" spans="13:28" s="308" customFormat="1" x14ac:dyDescent="0.2">
      <c r="M3506" s="309"/>
      <c r="AB3506" s="310"/>
    </row>
    <row r="3507" spans="13:28" s="308" customFormat="1" x14ac:dyDescent="0.2">
      <c r="M3507" s="309"/>
      <c r="AB3507" s="310"/>
    </row>
    <row r="3508" spans="13:28" s="308" customFormat="1" x14ac:dyDescent="0.2">
      <c r="M3508" s="309"/>
      <c r="AB3508" s="310"/>
    </row>
    <row r="3509" spans="13:28" s="308" customFormat="1" x14ac:dyDescent="0.2">
      <c r="M3509" s="309"/>
      <c r="AB3509" s="310"/>
    </row>
    <row r="3510" spans="13:28" s="308" customFormat="1" x14ac:dyDescent="0.2">
      <c r="M3510" s="309"/>
      <c r="AB3510" s="310"/>
    </row>
    <row r="3511" spans="13:28" s="308" customFormat="1" x14ac:dyDescent="0.2">
      <c r="M3511" s="309"/>
      <c r="AB3511" s="310"/>
    </row>
    <row r="3512" spans="13:28" s="308" customFormat="1" x14ac:dyDescent="0.2">
      <c r="M3512" s="309"/>
      <c r="AB3512" s="310"/>
    </row>
    <row r="3513" spans="13:28" s="308" customFormat="1" x14ac:dyDescent="0.2">
      <c r="M3513" s="309"/>
      <c r="AB3513" s="310"/>
    </row>
    <row r="3514" spans="13:28" s="308" customFormat="1" x14ac:dyDescent="0.2">
      <c r="M3514" s="309"/>
      <c r="AB3514" s="310"/>
    </row>
    <row r="3515" spans="13:28" s="308" customFormat="1" x14ac:dyDescent="0.2">
      <c r="M3515" s="309"/>
      <c r="AB3515" s="310"/>
    </row>
    <row r="3516" spans="13:28" s="308" customFormat="1" x14ac:dyDescent="0.2">
      <c r="M3516" s="309"/>
      <c r="AB3516" s="310"/>
    </row>
    <row r="3517" spans="13:28" s="308" customFormat="1" x14ac:dyDescent="0.2">
      <c r="M3517" s="309"/>
      <c r="AB3517" s="310"/>
    </row>
    <row r="3518" spans="13:28" s="308" customFormat="1" x14ac:dyDescent="0.2">
      <c r="M3518" s="309"/>
      <c r="AB3518" s="310"/>
    </row>
    <row r="3519" spans="13:28" s="308" customFormat="1" x14ac:dyDescent="0.2">
      <c r="M3519" s="309"/>
      <c r="AB3519" s="310"/>
    </row>
    <row r="3520" spans="13:28" s="308" customFormat="1" x14ac:dyDescent="0.2">
      <c r="M3520" s="309"/>
      <c r="AB3520" s="310"/>
    </row>
    <row r="3521" spans="13:28" s="308" customFormat="1" x14ac:dyDescent="0.2">
      <c r="M3521" s="309"/>
      <c r="AB3521" s="310"/>
    </row>
    <row r="3522" spans="13:28" s="308" customFormat="1" x14ac:dyDescent="0.2">
      <c r="M3522" s="309"/>
      <c r="AB3522" s="310"/>
    </row>
    <row r="3523" spans="13:28" s="308" customFormat="1" x14ac:dyDescent="0.2">
      <c r="M3523" s="309"/>
      <c r="AB3523" s="310"/>
    </row>
    <row r="3524" spans="13:28" s="308" customFormat="1" x14ac:dyDescent="0.2">
      <c r="M3524" s="309"/>
      <c r="AB3524" s="310"/>
    </row>
    <row r="3525" spans="13:28" s="308" customFormat="1" x14ac:dyDescent="0.2">
      <c r="M3525" s="309"/>
      <c r="AB3525" s="310"/>
    </row>
    <row r="3526" spans="13:28" s="308" customFormat="1" x14ac:dyDescent="0.2">
      <c r="M3526" s="309"/>
      <c r="AB3526" s="310"/>
    </row>
    <row r="3527" spans="13:28" s="308" customFormat="1" x14ac:dyDescent="0.2">
      <c r="M3527" s="309"/>
      <c r="AB3527" s="310"/>
    </row>
    <row r="3528" spans="13:28" s="308" customFormat="1" x14ac:dyDescent="0.2">
      <c r="M3528" s="309"/>
      <c r="AB3528" s="310"/>
    </row>
    <row r="3529" spans="13:28" s="308" customFormat="1" x14ac:dyDescent="0.2">
      <c r="M3529" s="309"/>
      <c r="AB3529" s="310"/>
    </row>
    <row r="3530" spans="13:28" s="308" customFormat="1" x14ac:dyDescent="0.2">
      <c r="M3530" s="309"/>
      <c r="AB3530" s="310"/>
    </row>
    <row r="3531" spans="13:28" s="308" customFormat="1" x14ac:dyDescent="0.2">
      <c r="M3531" s="309"/>
      <c r="AB3531" s="310"/>
    </row>
    <row r="3532" spans="13:28" s="308" customFormat="1" x14ac:dyDescent="0.2">
      <c r="M3532" s="309"/>
      <c r="AB3532" s="310"/>
    </row>
    <row r="3533" spans="13:28" s="308" customFormat="1" x14ac:dyDescent="0.2">
      <c r="M3533" s="309"/>
      <c r="AB3533" s="310"/>
    </row>
    <row r="3534" spans="13:28" s="308" customFormat="1" x14ac:dyDescent="0.2">
      <c r="M3534" s="309"/>
      <c r="AB3534" s="310"/>
    </row>
    <row r="3535" spans="13:28" s="308" customFormat="1" x14ac:dyDescent="0.2">
      <c r="M3535" s="309"/>
      <c r="AB3535" s="310"/>
    </row>
    <row r="3536" spans="13:28" s="308" customFormat="1" x14ac:dyDescent="0.2">
      <c r="M3536" s="309"/>
      <c r="AB3536" s="310"/>
    </row>
    <row r="3537" spans="13:28" s="308" customFormat="1" x14ac:dyDescent="0.2">
      <c r="M3537" s="309"/>
      <c r="AB3537" s="310"/>
    </row>
    <row r="3538" spans="13:28" s="308" customFormat="1" x14ac:dyDescent="0.2">
      <c r="M3538" s="309"/>
      <c r="AB3538" s="310"/>
    </row>
    <row r="3539" spans="13:28" s="308" customFormat="1" x14ac:dyDescent="0.2">
      <c r="M3539" s="309"/>
      <c r="AB3539" s="310"/>
    </row>
    <row r="3540" spans="13:28" s="308" customFormat="1" x14ac:dyDescent="0.2">
      <c r="M3540" s="309"/>
      <c r="AB3540" s="310"/>
    </row>
    <row r="3541" spans="13:28" s="308" customFormat="1" x14ac:dyDescent="0.2">
      <c r="M3541" s="309"/>
      <c r="AB3541" s="310"/>
    </row>
    <row r="3542" spans="13:28" s="308" customFormat="1" x14ac:dyDescent="0.2">
      <c r="M3542" s="309"/>
      <c r="AB3542" s="310"/>
    </row>
    <row r="3543" spans="13:28" s="308" customFormat="1" x14ac:dyDescent="0.2">
      <c r="M3543" s="309"/>
      <c r="AB3543" s="310"/>
    </row>
    <row r="3544" spans="13:28" s="308" customFormat="1" x14ac:dyDescent="0.2">
      <c r="M3544" s="309"/>
      <c r="AB3544" s="310"/>
    </row>
    <row r="3545" spans="13:28" s="308" customFormat="1" x14ac:dyDescent="0.2">
      <c r="M3545" s="309"/>
      <c r="AB3545" s="310"/>
    </row>
    <row r="3546" spans="13:28" s="308" customFormat="1" x14ac:dyDescent="0.2">
      <c r="M3546" s="309"/>
      <c r="AB3546" s="310"/>
    </row>
    <row r="3547" spans="13:28" s="308" customFormat="1" x14ac:dyDescent="0.2">
      <c r="M3547" s="309"/>
      <c r="AB3547" s="310"/>
    </row>
    <row r="3548" spans="13:28" s="308" customFormat="1" x14ac:dyDescent="0.2">
      <c r="M3548" s="309"/>
      <c r="AB3548" s="310"/>
    </row>
    <row r="3549" spans="13:28" s="308" customFormat="1" x14ac:dyDescent="0.2">
      <c r="M3549" s="309"/>
      <c r="AB3549" s="310"/>
    </row>
    <row r="3550" spans="13:28" s="308" customFormat="1" x14ac:dyDescent="0.2">
      <c r="M3550" s="309"/>
      <c r="AB3550" s="310"/>
    </row>
    <row r="3551" spans="13:28" s="308" customFormat="1" x14ac:dyDescent="0.2">
      <c r="M3551" s="309"/>
      <c r="AB3551" s="310"/>
    </row>
    <row r="3552" spans="13:28" s="308" customFormat="1" x14ac:dyDescent="0.2">
      <c r="M3552" s="309"/>
      <c r="AB3552" s="310"/>
    </row>
    <row r="3553" spans="13:28" s="308" customFormat="1" x14ac:dyDescent="0.2">
      <c r="M3553" s="309"/>
      <c r="AB3553" s="310"/>
    </row>
    <row r="3554" spans="13:28" s="308" customFormat="1" x14ac:dyDescent="0.2">
      <c r="M3554" s="309"/>
      <c r="AB3554" s="310"/>
    </row>
    <row r="3555" spans="13:28" s="308" customFormat="1" x14ac:dyDescent="0.2">
      <c r="M3555" s="309"/>
      <c r="AB3555" s="310"/>
    </row>
    <row r="3556" spans="13:28" s="308" customFormat="1" x14ac:dyDescent="0.2">
      <c r="M3556" s="309"/>
      <c r="AB3556" s="310"/>
    </row>
    <row r="3557" spans="13:28" s="308" customFormat="1" x14ac:dyDescent="0.2">
      <c r="M3557" s="309"/>
      <c r="AB3557" s="310"/>
    </row>
    <row r="3558" spans="13:28" s="308" customFormat="1" x14ac:dyDescent="0.2">
      <c r="M3558" s="309"/>
      <c r="AB3558" s="310"/>
    </row>
    <row r="3559" spans="13:28" s="308" customFormat="1" x14ac:dyDescent="0.2">
      <c r="M3559" s="309"/>
      <c r="AB3559" s="310"/>
    </row>
    <row r="3560" spans="13:28" s="308" customFormat="1" x14ac:dyDescent="0.2">
      <c r="M3560" s="309"/>
      <c r="AB3560" s="310"/>
    </row>
    <row r="3561" spans="13:28" s="308" customFormat="1" x14ac:dyDescent="0.2">
      <c r="M3561" s="309"/>
      <c r="AB3561" s="310"/>
    </row>
    <row r="3562" spans="13:28" s="308" customFormat="1" x14ac:dyDescent="0.2">
      <c r="M3562" s="309"/>
      <c r="AB3562" s="310"/>
    </row>
    <row r="3563" spans="13:28" s="308" customFormat="1" x14ac:dyDescent="0.2">
      <c r="M3563" s="309"/>
      <c r="AB3563" s="310"/>
    </row>
    <row r="3564" spans="13:28" s="308" customFormat="1" x14ac:dyDescent="0.2">
      <c r="M3564" s="309"/>
      <c r="AB3564" s="310"/>
    </row>
    <row r="3565" spans="13:28" s="308" customFormat="1" x14ac:dyDescent="0.2">
      <c r="M3565" s="309"/>
      <c r="AB3565" s="310"/>
    </row>
    <row r="3566" spans="13:28" s="308" customFormat="1" x14ac:dyDescent="0.2">
      <c r="M3566" s="309"/>
      <c r="AB3566" s="310"/>
    </row>
    <row r="3567" spans="13:28" s="308" customFormat="1" x14ac:dyDescent="0.2">
      <c r="M3567" s="309"/>
      <c r="AB3567" s="310"/>
    </row>
    <row r="3568" spans="13:28" s="308" customFormat="1" x14ac:dyDescent="0.2">
      <c r="M3568" s="309"/>
      <c r="AB3568" s="310"/>
    </row>
    <row r="3569" spans="13:28" s="308" customFormat="1" x14ac:dyDescent="0.2">
      <c r="M3569" s="309"/>
      <c r="AB3569" s="310"/>
    </row>
    <row r="3570" spans="13:28" s="308" customFormat="1" x14ac:dyDescent="0.2">
      <c r="M3570" s="309"/>
      <c r="AB3570" s="310"/>
    </row>
    <row r="3571" spans="13:28" s="308" customFormat="1" x14ac:dyDescent="0.2">
      <c r="M3571" s="309"/>
      <c r="AB3571" s="310"/>
    </row>
    <row r="3572" spans="13:28" s="308" customFormat="1" x14ac:dyDescent="0.2">
      <c r="M3572" s="309"/>
      <c r="AB3572" s="310"/>
    </row>
    <row r="3573" spans="13:28" s="308" customFormat="1" x14ac:dyDescent="0.2">
      <c r="M3573" s="309"/>
      <c r="AB3573" s="310"/>
    </row>
    <row r="3574" spans="13:28" s="308" customFormat="1" x14ac:dyDescent="0.2">
      <c r="M3574" s="309"/>
      <c r="AB3574" s="310"/>
    </row>
    <row r="3575" spans="13:28" s="308" customFormat="1" x14ac:dyDescent="0.2">
      <c r="M3575" s="309"/>
      <c r="AB3575" s="310"/>
    </row>
    <row r="3576" spans="13:28" s="308" customFormat="1" x14ac:dyDescent="0.2">
      <c r="M3576" s="309"/>
      <c r="AB3576" s="310"/>
    </row>
    <row r="3577" spans="13:28" s="308" customFormat="1" x14ac:dyDescent="0.2">
      <c r="M3577" s="309"/>
      <c r="AB3577" s="310"/>
    </row>
    <row r="3578" spans="13:28" s="308" customFormat="1" x14ac:dyDescent="0.2">
      <c r="M3578" s="309"/>
      <c r="AB3578" s="310"/>
    </row>
    <row r="3579" spans="13:28" s="308" customFormat="1" x14ac:dyDescent="0.2">
      <c r="M3579" s="309"/>
      <c r="AB3579" s="310"/>
    </row>
    <row r="3580" spans="13:28" s="308" customFormat="1" x14ac:dyDescent="0.2">
      <c r="M3580" s="309"/>
      <c r="AB3580" s="310"/>
    </row>
    <row r="3581" spans="13:28" s="308" customFormat="1" x14ac:dyDescent="0.2">
      <c r="M3581" s="309"/>
      <c r="AB3581" s="310"/>
    </row>
    <row r="3582" spans="13:28" s="308" customFormat="1" x14ac:dyDescent="0.2">
      <c r="M3582" s="309"/>
      <c r="AB3582" s="310"/>
    </row>
    <row r="3583" spans="13:28" s="308" customFormat="1" x14ac:dyDescent="0.2">
      <c r="M3583" s="309"/>
      <c r="AB3583" s="310"/>
    </row>
    <row r="3584" spans="13:28" s="308" customFormat="1" x14ac:dyDescent="0.2">
      <c r="M3584" s="309"/>
      <c r="AB3584" s="310"/>
    </row>
    <row r="3585" spans="13:28" s="308" customFormat="1" x14ac:dyDescent="0.2">
      <c r="M3585" s="309"/>
      <c r="AB3585" s="310"/>
    </row>
    <row r="3586" spans="13:28" s="308" customFormat="1" x14ac:dyDescent="0.2">
      <c r="M3586" s="309"/>
      <c r="AB3586" s="310"/>
    </row>
    <row r="3587" spans="13:28" s="308" customFormat="1" x14ac:dyDescent="0.2">
      <c r="M3587" s="309"/>
      <c r="AB3587" s="310"/>
    </row>
    <row r="3588" spans="13:28" s="308" customFormat="1" x14ac:dyDescent="0.2">
      <c r="M3588" s="309"/>
      <c r="AB3588" s="310"/>
    </row>
    <row r="3589" spans="13:28" s="308" customFormat="1" x14ac:dyDescent="0.2">
      <c r="M3589" s="309"/>
      <c r="AB3589" s="310"/>
    </row>
    <row r="3590" spans="13:28" s="308" customFormat="1" x14ac:dyDescent="0.2">
      <c r="M3590" s="309"/>
      <c r="AB3590" s="310"/>
    </row>
    <row r="3591" spans="13:28" s="308" customFormat="1" x14ac:dyDescent="0.2">
      <c r="M3591" s="309"/>
      <c r="AB3591" s="310"/>
    </row>
    <row r="3592" spans="13:28" s="308" customFormat="1" x14ac:dyDescent="0.2">
      <c r="M3592" s="309"/>
      <c r="AB3592" s="310"/>
    </row>
    <row r="3593" spans="13:28" s="308" customFormat="1" x14ac:dyDescent="0.2">
      <c r="M3593" s="309"/>
      <c r="AB3593" s="310"/>
    </row>
    <row r="3594" spans="13:28" s="308" customFormat="1" x14ac:dyDescent="0.2">
      <c r="M3594" s="309"/>
      <c r="AB3594" s="310"/>
    </row>
    <row r="3595" spans="13:28" s="308" customFormat="1" x14ac:dyDescent="0.2">
      <c r="M3595" s="309"/>
      <c r="AB3595" s="310"/>
    </row>
    <row r="3596" spans="13:28" s="308" customFormat="1" x14ac:dyDescent="0.2">
      <c r="M3596" s="309"/>
      <c r="AB3596" s="310"/>
    </row>
    <row r="3597" spans="13:28" s="308" customFormat="1" x14ac:dyDescent="0.2">
      <c r="M3597" s="309"/>
      <c r="AB3597" s="310"/>
    </row>
    <row r="3598" spans="13:28" s="308" customFormat="1" x14ac:dyDescent="0.2">
      <c r="M3598" s="309"/>
      <c r="AB3598" s="310"/>
    </row>
    <row r="3599" spans="13:28" s="308" customFormat="1" x14ac:dyDescent="0.2">
      <c r="M3599" s="309"/>
      <c r="AB3599" s="310"/>
    </row>
    <row r="3600" spans="13:28" s="308" customFormat="1" x14ac:dyDescent="0.2">
      <c r="M3600" s="309"/>
      <c r="AB3600" s="310"/>
    </row>
    <row r="3601" spans="13:28" s="308" customFormat="1" x14ac:dyDescent="0.2">
      <c r="M3601" s="309"/>
      <c r="AB3601" s="310"/>
    </row>
    <row r="3602" spans="13:28" s="308" customFormat="1" x14ac:dyDescent="0.2">
      <c r="M3602" s="309"/>
      <c r="AB3602" s="310"/>
    </row>
    <row r="3603" spans="13:28" s="308" customFormat="1" x14ac:dyDescent="0.2">
      <c r="M3603" s="309"/>
      <c r="AB3603" s="310"/>
    </row>
    <row r="3604" spans="13:28" s="308" customFormat="1" x14ac:dyDescent="0.2">
      <c r="M3604" s="309"/>
      <c r="AB3604" s="310"/>
    </row>
    <row r="3605" spans="13:28" s="308" customFormat="1" x14ac:dyDescent="0.2">
      <c r="M3605" s="309"/>
      <c r="AB3605" s="310"/>
    </row>
    <row r="3606" spans="13:28" s="308" customFormat="1" x14ac:dyDescent="0.2">
      <c r="M3606" s="309"/>
      <c r="AB3606" s="310"/>
    </row>
    <row r="3607" spans="13:28" s="308" customFormat="1" x14ac:dyDescent="0.2">
      <c r="M3607" s="309"/>
      <c r="AB3607" s="310"/>
    </row>
    <row r="3608" spans="13:28" s="308" customFormat="1" x14ac:dyDescent="0.2">
      <c r="M3608" s="309"/>
      <c r="AB3608" s="310"/>
    </row>
    <row r="3609" spans="13:28" s="308" customFormat="1" x14ac:dyDescent="0.2">
      <c r="M3609" s="309"/>
      <c r="AB3609" s="310"/>
    </row>
    <row r="3610" spans="13:28" s="308" customFormat="1" x14ac:dyDescent="0.2">
      <c r="M3610" s="309"/>
      <c r="AB3610" s="310"/>
    </row>
    <row r="3611" spans="13:28" s="308" customFormat="1" x14ac:dyDescent="0.2">
      <c r="M3611" s="309"/>
      <c r="AB3611" s="310"/>
    </row>
    <row r="3612" spans="13:28" s="308" customFormat="1" x14ac:dyDescent="0.2">
      <c r="M3612" s="309"/>
      <c r="AB3612" s="310"/>
    </row>
    <row r="3613" spans="13:28" s="308" customFormat="1" x14ac:dyDescent="0.2">
      <c r="M3613" s="309"/>
      <c r="AB3613" s="310"/>
    </row>
    <row r="3614" spans="13:28" s="308" customFormat="1" x14ac:dyDescent="0.2">
      <c r="M3614" s="309"/>
      <c r="AB3614" s="310"/>
    </row>
    <row r="3615" spans="13:28" s="308" customFormat="1" x14ac:dyDescent="0.2">
      <c r="M3615" s="309"/>
      <c r="AB3615" s="310"/>
    </row>
    <row r="3616" spans="13:28" s="308" customFormat="1" x14ac:dyDescent="0.2">
      <c r="M3616" s="309"/>
      <c r="AB3616" s="310"/>
    </row>
    <row r="3617" spans="13:28" s="308" customFormat="1" x14ac:dyDescent="0.2">
      <c r="M3617" s="309"/>
      <c r="AB3617" s="310"/>
    </row>
    <row r="3618" spans="13:28" s="308" customFormat="1" x14ac:dyDescent="0.2">
      <c r="M3618" s="309"/>
      <c r="AB3618" s="310"/>
    </row>
    <row r="3619" spans="13:28" s="308" customFormat="1" x14ac:dyDescent="0.2">
      <c r="M3619" s="309"/>
      <c r="AB3619" s="310"/>
    </row>
    <row r="3620" spans="13:28" s="308" customFormat="1" x14ac:dyDescent="0.2">
      <c r="M3620" s="309"/>
      <c r="AB3620" s="310"/>
    </row>
    <row r="3621" spans="13:28" s="308" customFormat="1" x14ac:dyDescent="0.2">
      <c r="M3621" s="309"/>
      <c r="AB3621" s="310"/>
    </row>
    <row r="3622" spans="13:28" s="308" customFormat="1" x14ac:dyDescent="0.2">
      <c r="M3622" s="309"/>
      <c r="AB3622" s="310"/>
    </row>
    <row r="3623" spans="13:28" s="308" customFormat="1" x14ac:dyDescent="0.2">
      <c r="M3623" s="309"/>
      <c r="AB3623" s="310"/>
    </row>
    <row r="3624" spans="13:28" s="308" customFormat="1" x14ac:dyDescent="0.2">
      <c r="M3624" s="309"/>
      <c r="AB3624" s="310"/>
    </row>
    <row r="3625" spans="13:28" s="308" customFormat="1" x14ac:dyDescent="0.2">
      <c r="M3625" s="309"/>
      <c r="AB3625" s="310"/>
    </row>
    <row r="3626" spans="13:28" s="308" customFormat="1" x14ac:dyDescent="0.2">
      <c r="M3626" s="309"/>
      <c r="AB3626" s="310"/>
    </row>
    <row r="3627" spans="13:28" s="308" customFormat="1" x14ac:dyDescent="0.2">
      <c r="M3627" s="309"/>
      <c r="AB3627" s="310"/>
    </row>
    <row r="3628" spans="13:28" s="308" customFormat="1" x14ac:dyDescent="0.2">
      <c r="M3628" s="309"/>
      <c r="AB3628" s="310"/>
    </row>
    <row r="3629" spans="13:28" s="308" customFormat="1" x14ac:dyDescent="0.2">
      <c r="M3629" s="309"/>
      <c r="AB3629" s="310"/>
    </row>
    <row r="3630" spans="13:28" s="308" customFormat="1" x14ac:dyDescent="0.2">
      <c r="M3630" s="309"/>
      <c r="AB3630" s="310"/>
    </row>
    <row r="3631" spans="13:28" s="308" customFormat="1" x14ac:dyDescent="0.2">
      <c r="M3631" s="309"/>
      <c r="AB3631" s="310"/>
    </row>
    <row r="3632" spans="13:28" s="308" customFormat="1" x14ac:dyDescent="0.2">
      <c r="M3632" s="309"/>
      <c r="AB3632" s="310"/>
    </row>
    <row r="3633" spans="13:28" s="308" customFormat="1" x14ac:dyDescent="0.2">
      <c r="M3633" s="309"/>
      <c r="AB3633" s="310"/>
    </row>
    <row r="3634" spans="13:28" s="308" customFormat="1" x14ac:dyDescent="0.2">
      <c r="M3634" s="309"/>
      <c r="AB3634" s="310"/>
    </row>
    <row r="3635" spans="13:28" s="308" customFormat="1" x14ac:dyDescent="0.2">
      <c r="M3635" s="309"/>
      <c r="AB3635" s="310"/>
    </row>
    <row r="3636" spans="13:28" s="308" customFormat="1" x14ac:dyDescent="0.2">
      <c r="M3636" s="309"/>
      <c r="AB3636" s="310"/>
    </row>
    <row r="3637" spans="13:28" s="308" customFormat="1" x14ac:dyDescent="0.2">
      <c r="M3637" s="309"/>
      <c r="AB3637" s="310"/>
    </row>
    <row r="3638" spans="13:28" s="308" customFormat="1" x14ac:dyDescent="0.2">
      <c r="M3638" s="309"/>
      <c r="AB3638" s="310"/>
    </row>
    <row r="3639" spans="13:28" s="308" customFormat="1" x14ac:dyDescent="0.2">
      <c r="M3639" s="309"/>
      <c r="AB3639" s="310"/>
    </row>
    <row r="3640" spans="13:28" s="308" customFormat="1" x14ac:dyDescent="0.2">
      <c r="M3640" s="309"/>
      <c r="AB3640" s="310"/>
    </row>
    <row r="3641" spans="13:28" s="308" customFormat="1" x14ac:dyDescent="0.2">
      <c r="M3641" s="309"/>
      <c r="AB3641" s="310"/>
    </row>
    <row r="3642" spans="13:28" s="308" customFormat="1" x14ac:dyDescent="0.2">
      <c r="M3642" s="309"/>
      <c r="AB3642" s="310"/>
    </row>
    <row r="3643" spans="13:28" s="308" customFormat="1" x14ac:dyDescent="0.2">
      <c r="M3643" s="309"/>
      <c r="AB3643" s="310"/>
    </row>
    <row r="3644" spans="13:28" s="308" customFormat="1" x14ac:dyDescent="0.2">
      <c r="M3644" s="309"/>
      <c r="AB3644" s="310"/>
    </row>
    <row r="3645" spans="13:28" s="308" customFormat="1" x14ac:dyDescent="0.2">
      <c r="M3645" s="309"/>
      <c r="AB3645" s="310"/>
    </row>
    <row r="3646" spans="13:28" s="308" customFormat="1" x14ac:dyDescent="0.2">
      <c r="M3646" s="309"/>
      <c r="AB3646" s="310"/>
    </row>
    <row r="3647" spans="13:28" s="308" customFormat="1" x14ac:dyDescent="0.2">
      <c r="M3647" s="309"/>
      <c r="AB3647" s="310"/>
    </row>
    <row r="3648" spans="13:28" s="308" customFormat="1" x14ac:dyDescent="0.2">
      <c r="M3648" s="309"/>
      <c r="AB3648" s="310"/>
    </row>
    <row r="3649" spans="13:28" s="308" customFormat="1" x14ac:dyDescent="0.2">
      <c r="M3649" s="309"/>
      <c r="AB3649" s="310"/>
    </row>
    <row r="3650" spans="13:28" s="308" customFormat="1" x14ac:dyDescent="0.2">
      <c r="M3650" s="309"/>
      <c r="AB3650" s="310"/>
    </row>
    <row r="3651" spans="13:28" s="308" customFormat="1" x14ac:dyDescent="0.2">
      <c r="M3651" s="309"/>
      <c r="AB3651" s="310"/>
    </row>
    <row r="3652" spans="13:28" s="308" customFormat="1" x14ac:dyDescent="0.2">
      <c r="M3652" s="309"/>
      <c r="AB3652" s="310"/>
    </row>
    <row r="3653" spans="13:28" s="308" customFormat="1" x14ac:dyDescent="0.2">
      <c r="M3653" s="309"/>
      <c r="AB3653" s="310"/>
    </row>
    <row r="3654" spans="13:28" s="308" customFormat="1" x14ac:dyDescent="0.2">
      <c r="M3654" s="309"/>
      <c r="AB3654" s="310"/>
    </row>
    <row r="3655" spans="13:28" s="308" customFormat="1" x14ac:dyDescent="0.2">
      <c r="M3655" s="309"/>
      <c r="AB3655" s="310"/>
    </row>
    <row r="3656" spans="13:28" s="308" customFormat="1" x14ac:dyDescent="0.2">
      <c r="M3656" s="309"/>
      <c r="AB3656" s="310"/>
    </row>
    <row r="3657" spans="13:28" s="308" customFormat="1" x14ac:dyDescent="0.2">
      <c r="M3657" s="309"/>
      <c r="AB3657" s="310"/>
    </row>
    <row r="3658" spans="13:28" s="308" customFormat="1" x14ac:dyDescent="0.2">
      <c r="M3658" s="309"/>
      <c r="AB3658" s="310"/>
    </row>
    <row r="3659" spans="13:28" s="308" customFormat="1" x14ac:dyDescent="0.2">
      <c r="M3659" s="309"/>
      <c r="AB3659" s="310"/>
    </row>
    <row r="3660" spans="13:28" s="308" customFormat="1" x14ac:dyDescent="0.2">
      <c r="M3660" s="309"/>
      <c r="AB3660" s="310"/>
    </row>
    <row r="3661" spans="13:28" s="308" customFormat="1" x14ac:dyDescent="0.2">
      <c r="M3661" s="309"/>
      <c r="AB3661" s="310"/>
    </row>
    <row r="3662" spans="13:28" s="308" customFormat="1" x14ac:dyDescent="0.2">
      <c r="M3662" s="309"/>
      <c r="AB3662" s="310"/>
    </row>
    <row r="3663" spans="13:28" s="308" customFormat="1" x14ac:dyDescent="0.2">
      <c r="M3663" s="309"/>
      <c r="AB3663" s="310"/>
    </row>
    <row r="3664" spans="13:28" s="308" customFormat="1" x14ac:dyDescent="0.2">
      <c r="M3664" s="309"/>
      <c r="AB3664" s="310"/>
    </row>
    <row r="3665" spans="13:28" s="308" customFormat="1" x14ac:dyDescent="0.2">
      <c r="M3665" s="309"/>
      <c r="AB3665" s="310"/>
    </row>
    <row r="3666" spans="13:28" s="308" customFormat="1" x14ac:dyDescent="0.2">
      <c r="M3666" s="309"/>
      <c r="AB3666" s="310"/>
    </row>
    <row r="3667" spans="13:28" s="308" customFormat="1" x14ac:dyDescent="0.2">
      <c r="M3667" s="309"/>
      <c r="AB3667" s="310"/>
    </row>
    <row r="3668" spans="13:28" s="308" customFormat="1" x14ac:dyDescent="0.2">
      <c r="M3668" s="309"/>
      <c r="AB3668" s="310"/>
    </row>
    <row r="3669" spans="13:28" s="308" customFormat="1" x14ac:dyDescent="0.2">
      <c r="M3669" s="309"/>
      <c r="AB3669" s="310"/>
    </row>
    <row r="3670" spans="13:28" s="308" customFormat="1" x14ac:dyDescent="0.2">
      <c r="M3670" s="309"/>
      <c r="AB3670" s="310"/>
    </row>
    <row r="3671" spans="13:28" s="308" customFormat="1" x14ac:dyDescent="0.2">
      <c r="M3671" s="309"/>
      <c r="AB3671" s="310"/>
    </row>
    <row r="3672" spans="13:28" s="308" customFormat="1" x14ac:dyDescent="0.2">
      <c r="M3672" s="309"/>
      <c r="AB3672" s="310"/>
    </row>
    <row r="3673" spans="13:28" s="308" customFormat="1" x14ac:dyDescent="0.2">
      <c r="M3673" s="309"/>
      <c r="AB3673" s="310"/>
    </row>
    <row r="3674" spans="13:28" s="308" customFormat="1" x14ac:dyDescent="0.2">
      <c r="M3674" s="309"/>
      <c r="AB3674" s="310"/>
    </row>
    <row r="3675" spans="13:28" s="308" customFormat="1" x14ac:dyDescent="0.2">
      <c r="M3675" s="309"/>
      <c r="AB3675" s="310"/>
    </row>
    <row r="3676" spans="13:28" s="308" customFormat="1" x14ac:dyDescent="0.2">
      <c r="M3676" s="309"/>
      <c r="AB3676" s="310"/>
    </row>
    <row r="3677" spans="13:28" s="308" customFormat="1" x14ac:dyDescent="0.2">
      <c r="M3677" s="309"/>
      <c r="AB3677" s="310"/>
    </row>
    <row r="3678" spans="13:28" s="308" customFormat="1" x14ac:dyDescent="0.2">
      <c r="M3678" s="309"/>
      <c r="AB3678" s="310"/>
    </row>
    <row r="3679" spans="13:28" s="308" customFormat="1" x14ac:dyDescent="0.2">
      <c r="M3679" s="309"/>
      <c r="AB3679" s="310"/>
    </row>
    <row r="3680" spans="13:28" s="308" customFormat="1" x14ac:dyDescent="0.2">
      <c r="M3680" s="309"/>
      <c r="AB3680" s="310"/>
    </row>
    <row r="3681" spans="13:28" s="308" customFormat="1" x14ac:dyDescent="0.2">
      <c r="M3681" s="309"/>
      <c r="AB3681" s="310"/>
    </row>
    <row r="3682" spans="13:28" s="308" customFormat="1" x14ac:dyDescent="0.2">
      <c r="M3682" s="309"/>
      <c r="AB3682" s="310"/>
    </row>
    <row r="3683" spans="13:28" s="308" customFormat="1" x14ac:dyDescent="0.2">
      <c r="M3683" s="309"/>
      <c r="AB3683" s="310"/>
    </row>
    <row r="3684" spans="13:28" s="308" customFormat="1" x14ac:dyDescent="0.2">
      <c r="M3684" s="309"/>
      <c r="AB3684" s="310"/>
    </row>
    <row r="3685" spans="13:28" s="308" customFormat="1" x14ac:dyDescent="0.2">
      <c r="M3685" s="309"/>
      <c r="AB3685" s="310"/>
    </row>
    <row r="3686" spans="13:28" s="308" customFormat="1" x14ac:dyDescent="0.2">
      <c r="M3686" s="309"/>
      <c r="AB3686" s="310"/>
    </row>
    <row r="3687" spans="13:28" s="308" customFormat="1" x14ac:dyDescent="0.2">
      <c r="M3687" s="309"/>
      <c r="AB3687" s="310"/>
    </row>
    <row r="3688" spans="13:28" s="308" customFormat="1" x14ac:dyDescent="0.2">
      <c r="M3688" s="309"/>
      <c r="AB3688" s="310"/>
    </row>
    <row r="3689" spans="13:28" s="308" customFormat="1" x14ac:dyDescent="0.2">
      <c r="M3689" s="309"/>
      <c r="AB3689" s="310"/>
    </row>
    <row r="3690" spans="13:28" s="308" customFormat="1" x14ac:dyDescent="0.2">
      <c r="M3690" s="309"/>
      <c r="AB3690" s="310"/>
    </row>
    <row r="3691" spans="13:28" s="308" customFormat="1" x14ac:dyDescent="0.2">
      <c r="M3691" s="309"/>
      <c r="AB3691" s="310"/>
    </row>
    <row r="3692" spans="13:28" s="308" customFormat="1" x14ac:dyDescent="0.2">
      <c r="M3692" s="309"/>
      <c r="AB3692" s="310"/>
    </row>
    <row r="3693" spans="13:28" s="308" customFormat="1" x14ac:dyDescent="0.2">
      <c r="M3693" s="309"/>
      <c r="AB3693" s="310"/>
    </row>
    <row r="3694" spans="13:28" s="308" customFormat="1" x14ac:dyDescent="0.2">
      <c r="M3694" s="309"/>
      <c r="AB3694" s="310"/>
    </row>
    <row r="3695" spans="13:28" s="308" customFormat="1" x14ac:dyDescent="0.2">
      <c r="M3695" s="309"/>
      <c r="AB3695" s="310"/>
    </row>
    <row r="3696" spans="13:28" s="308" customFormat="1" x14ac:dyDescent="0.2">
      <c r="M3696" s="309"/>
      <c r="AB3696" s="310"/>
    </row>
    <row r="3697" spans="13:28" s="308" customFormat="1" x14ac:dyDescent="0.2">
      <c r="M3697" s="309"/>
      <c r="AB3697" s="310"/>
    </row>
    <row r="3698" spans="13:28" s="308" customFormat="1" x14ac:dyDescent="0.2">
      <c r="M3698" s="309"/>
      <c r="AB3698" s="310"/>
    </row>
    <row r="3699" spans="13:28" s="308" customFormat="1" x14ac:dyDescent="0.2">
      <c r="M3699" s="309"/>
      <c r="AB3699" s="310"/>
    </row>
    <row r="3700" spans="13:28" s="308" customFormat="1" x14ac:dyDescent="0.2">
      <c r="M3700" s="309"/>
      <c r="AB3700" s="310"/>
    </row>
    <row r="3701" spans="13:28" s="308" customFormat="1" x14ac:dyDescent="0.2">
      <c r="M3701" s="309"/>
      <c r="AB3701" s="310"/>
    </row>
    <row r="3702" spans="13:28" s="308" customFormat="1" x14ac:dyDescent="0.2">
      <c r="M3702" s="309"/>
      <c r="AB3702" s="310"/>
    </row>
    <row r="3703" spans="13:28" s="308" customFormat="1" x14ac:dyDescent="0.2">
      <c r="M3703" s="309"/>
      <c r="AB3703" s="310"/>
    </row>
    <row r="3704" spans="13:28" s="308" customFormat="1" x14ac:dyDescent="0.2">
      <c r="M3704" s="309"/>
      <c r="AB3704" s="310"/>
    </row>
    <row r="3705" spans="13:28" s="308" customFormat="1" x14ac:dyDescent="0.2">
      <c r="M3705" s="309"/>
      <c r="AB3705" s="310"/>
    </row>
    <row r="3706" spans="13:28" s="308" customFormat="1" x14ac:dyDescent="0.2">
      <c r="M3706" s="309"/>
      <c r="AB3706" s="310"/>
    </row>
    <row r="3707" spans="13:28" s="308" customFormat="1" x14ac:dyDescent="0.2">
      <c r="M3707" s="309"/>
      <c r="AB3707" s="310"/>
    </row>
    <row r="3708" spans="13:28" s="308" customFormat="1" x14ac:dyDescent="0.2">
      <c r="M3708" s="309"/>
      <c r="AB3708" s="310"/>
    </row>
    <row r="3709" spans="13:28" s="308" customFormat="1" x14ac:dyDescent="0.2">
      <c r="M3709" s="309"/>
      <c r="AB3709" s="310"/>
    </row>
    <row r="3710" spans="13:28" s="308" customFormat="1" x14ac:dyDescent="0.2">
      <c r="M3710" s="309"/>
      <c r="AB3710" s="310"/>
    </row>
    <row r="3711" spans="13:28" s="308" customFormat="1" x14ac:dyDescent="0.2">
      <c r="M3711" s="309"/>
      <c r="AB3711" s="310"/>
    </row>
    <row r="3712" spans="13:28" s="308" customFormat="1" x14ac:dyDescent="0.2">
      <c r="M3712" s="309"/>
      <c r="AB3712" s="310"/>
    </row>
    <row r="3713" spans="13:28" s="308" customFormat="1" x14ac:dyDescent="0.2">
      <c r="M3713" s="309"/>
      <c r="AB3713" s="310"/>
    </row>
    <row r="3714" spans="13:28" s="308" customFormat="1" x14ac:dyDescent="0.2">
      <c r="M3714" s="309"/>
      <c r="AB3714" s="310"/>
    </row>
    <row r="3715" spans="13:28" s="308" customFormat="1" x14ac:dyDescent="0.2">
      <c r="M3715" s="309"/>
      <c r="AB3715" s="310"/>
    </row>
    <row r="3716" spans="13:28" s="308" customFormat="1" x14ac:dyDescent="0.2">
      <c r="M3716" s="309"/>
      <c r="AB3716" s="310"/>
    </row>
    <row r="3717" spans="13:28" s="308" customFormat="1" x14ac:dyDescent="0.2">
      <c r="M3717" s="309"/>
      <c r="AB3717" s="310"/>
    </row>
    <row r="3718" spans="13:28" s="308" customFormat="1" x14ac:dyDescent="0.2">
      <c r="M3718" s="309"/>
      <c r="AB3718" s="310"/>
    </row>
    <row r="3719" spans="13:28" s="308" customFormat="1" x14ac:dyDescent="0.2">
      <c r="M3719" s="309"/>
      <c r="AB3719" s="310"/>
    </row>
    <row r="3720" spans="13:28" s="308" customFormat="1" x14ac:dyDescent="0.2">
      <c r="M3720" s="309"/>
      <c r="AB3720" s="310"/>
    </row>
    <row r="3721" spans="13:28" s="308" customFormat="1" x14ac:dyDescent="0.2">
      <c r="M3721" s="309"/>
      <c r="AB3721" s="310"/>
    </row>
    <row r="3722" spans="13:28" s="308" customFormat="1" x14ac:dyDescent="0.2">
      <c r="M3722" s="309"/>
      <c r="AB3722" s="310"/>
    </row>
    <row r="3723" spans="13:28" s="308" customFormat="1" x14ac:dyDescent="0.2">
      <c r="M3723" s="309"/>
      <c r="AB3723" s="310"/>
    </row>
    <row r="3724" spans="13:28" s="308" customFormat="1" x14ac:dyDescent="0.2">
      <c r="M3724" s="309"/>
      <c r="AB3724" s="310"/>
    </row>
    <row r="3725" spans="13:28" s="308" customFormat="1" x14ac:dyDescent="0.2">
      <c r="M3725" s="309"/>
      <c r="AB3725" s="310"/>
    </row>
    <row r="3726" spans="13:28" s="308" customFormat="1" x14ac:dyDescent="0.2">
      <c r="M3726" s="309"/>
      <c r="AB3726" s="310"/>
    </row>
    <row r="3727" spans="13:28" s="308" customFormat="1" x14ac:dyDescent="0.2">
      <c r="M3727" s="309"/>
      <c r="AB3727" s="310"/>
    </row>
    <row r="3728" spans="13:28" s="308" customFormat="1" x14ac:dyDescent="0.2">
      <c r="M3728" s="309"/>
      <c r="AB3728" s="310"/>
    </row>
    <row r="3729" spans="13:28" s="308" customFormat="1" x14ac:dyDescent="0.2">
      <c r="M3729" s="309"/>
      <c r="AB3729" s="310"/>
    </row>
    <row r="3730" spans="13:28" s="308" customFormat="1" x14ac:dyDescent="0.2">
      <c r="M3730" s="309"/>
      <c r="AB3730" s="310"/>
    </row>
    <row r="3731" spans="13:28" s="308" customFormat="1" x14ac:dyDescent="0.2">
      <c r="M3731" s="309"/>
      <c r="AB3731" s="310"/>
    </row>
    <row r="3732" spans="13:28" s="308" customFormat="1" x14ac:dyDescent="0.2">
      <c r="M3732" s="309"/>
      <c r="AB3732" s="310"/>
    </row>
    <row r="3733" spans="13:28" s="308" customFormat="1" x14ac:dyDescent="0.2">
      <c r="M3733" s="309"/>
      <c r="AB3733" s="310"/>
    </row>
    <row r="3734" spans="13:28" s="308" customFormat="1" x14ac:dyDescent="0.2">
      <c r="M3734" s="309"/>
      <c r="AB3734" s="310"/>
    </row>
    <row r="3735" spans="13:28" s="308" customFormat="1" x14ac:dyDescent="0.2">
      <c r="M3735" s="309"/>
      <c r="AB3735" s="310"/>
    </row>
    <row r="3736" spans="13:28" s="308" customFormat="1" x14ac:dyDescent="0.2">
      <c r="M3736" s="309"/>
      <c r="AB3736" s="310"/>
    </row>
    <row r="3737" spans="13:28" s="308" customFormat="1" x14ac:dyDescent="0.2">
      <c r="M3737" s="309"/>
      <c r="AB3737" s="310"/>
    </row>
    <row r="3738" spans="13:28" s="308" customFormat="1" x14ac:dyDescent="0.2">
      <c r="M3738" s="309"/>
      <c r="AB3738" s="310"/>
    </row>
    <row r="3739" spans="13:28" s="308" customFormat="1" x14ac:dyDescent="0.2">
      <c r="M3739" s="309"/>
      <c r="AB3739" s="310"/>
    </row>
    <row r="3740" spans="13:28" s="308" customFormat="1" x14ac:dyDescent="0.2">
      <c r="M3740" s="309"/>
      <c r="AB3740" s="310"/>
    </row>
    <row r="3741" spans="13:28" s="308" customFormat="1" x14ac:dyDescent="0.2">
      <c r="M3741" s="309"/>
      <c r="AB3741" s="310"/>
    </row>
    <row r="3742" spans="13:28" s="308" customFormat="1" x14ac:dyDescent="0.2">
      <c r="M3742" s="309"/>
      <c r="AB3742" s="310"/>
    </row>
    <row r="3743" spans="13:28" s="308" customFormat="1" x14ac:dyDescent="0.2">
      <c r="M3743" s="309"/>
      <c r="AB3743" s="310"/>
    </row>
    <row r="3744" spans="13:28" s="308" customFormat="1" x14ac:dyDescent="0.2">
      <c r="M3744" s="309"/>
      <c r="AB3744" s="310"/>
    </row>
    <row r="3745" spans="13:28" s="308" customFormat="1" x14ac:dyDescent="0.2">
      <c r="M3745" s="309"/>
      <c r="AB3745" s="310"/>
    </row>
    <row r="3746" spans="13:28" s="308" customFormat="1" x14ac:dyDescent="0.2">
      <c r="M3746" s="309"/>
      <c r="AB3746" s="310"/>
    </row>
    <row r="3747" spans="13:28" s="308" customFormat="1" x14ac:dyDescent="0.2">
      <c r="M3747" s="309"/>
      <c r="AB3747" s="310"/>
    </row>
    <row r="3748" spans="13:28" s="308" customFormat="1" x14ac:dyDescent="0.2">
      <c r="M3748" s="309"/>
      <c r="AB3748" s="310"/>
    </row>
    <row r="3749" spans="13:28" s="308" customFormat="1" x14ac:dyDescent="0.2">
      <c r="M3749" s="309"/>
      <c r="AB3749" s="310"/>
    </row>
    <row r="3750" spans="13:28" s="308" customFormat="1" x14ac:dyDescent="0.2">
      <c r="M3750" s="309"/>
      <c r="AB3750" s="310"/>
    </row>
    <row r="3751" spans="13:28" s="308" customFormat="1" x14ac:dyDescent="0.2">
      <c r="M3751" s="309"/>
      <c r="AB3751" s="310"/>
    </row>
    <row r="3752" spans="13:28" s="308" customFormat="1" x14ac:dyDescent="0.2">
      <c r="M3752" s="309"/>
      <c r="AB3752" s="310"/>
    </row>
    <row r="3753" spans="13:28" s="308" customFormat="1" x14ac:dyDescent="0.2">
      <c r="M3753" s="309"/>
      <c r="AB3753" s="310"/>
    </row>
    <row r="3754" spans="13:28" s="308" customFormat="1" x14ac:dyDescent="0.2">
      <c r="M3754" s="309"/>
      <c r="AB3754" s="310"/>
    </row>
    <row r="3755" spans="13:28" s="308" customFormat="1" x14ac:dyDescent="0.2">
      <c r="M3755" s="309"/>
      <c r="AB3755" s="310"/>
    </row>
    <row r="3756" spans="13:28" s="308" customFormat="1" x14ac:dyDescent="0.2">
      <c r="M3756" s="309"/>
      <c r="AB3756" s="310"/>
    </row>
    <row r="3757" spans="13:28" s="308" customFormat="1" x14ac:dyDescent="0.2">
      <c r="M3757" s="309"/>
      <c r="AB3757" s="310"/>
    </row>
    <row r="3758" spans="13:28" s="308" customFormat="1" x14ac:dyDescent="0.2">
      <c r="M3758" s="309"/>
      <c r="AB3758" s="310"/>
    </row>
    <row r="3759" spans="13:28" s="308" customFormat="1" x14ac:dyDescent="0.2">
      <c r="M3759" s="309"/>
      <c r="AB3759" s="310"/>
    </row>
    <row r="3760" spans="13:28" s="308" customFormat="1" x14ac:dyDescent="0.2">
      <c r="M3760" s="309"/>
      <c r="AB3760" s="310"/>
    </row>
    <row r="3761" spans="13:28" s="308" customFormat="1" x14ac:dyDescent="0.2">
      <c r="M3761" s="309"/>
      <c r="AB3761" s="310"/>
    </row>
    <row r="3762" spans="13:28" s="308" customFormat="1" x14ac:dyDescent="0.2">
      <c r="M3762" s="309"/>
      <c r="AB3762" s="310"/>
    </row>
    <row r="3763" spans="13:28" s="308" customFormat="1" x14ac:dyDescent="0.2">
      <c r="M3763" s="309"/>
      <c r="AB3763" s="310"/>
    </row>
    <row r="3764" spans="13:28" s="308" customFormat="1" x14ac:dyDescent="0.2">
      <c r="M3764" s="309"/>
      <c r="AB3764" s="310"/>
    </row>
    <row r="3765" spans="13:28" s="308" customFormat="1" x14ac:dyDescent="0.2">
      <c r="M3765" s="309"/>
      <c r="AB3765" s="310"/>
    </row>
    <row r="3766" spans="13:28" s="308" customFormat="1" x14ac:dyDescent="0.2">
      <c r="M3766" s="309"/>
      <c r="AB3766" s="310"/>
    </row>
    <row r="3767" spans="13:28" s="308" customFormat="1" x14ac:dyDescent="0.2">
      <c r="M3767" s="309"/>
      <c r="AB3767" s="310"/>
    </row>
    <row r="3768" spans="13:28" s="308" customFormat="1" x14ac:dyDescent="0.2">
      <c r="M3768" s="309"/>
      <c r="AB3768" s="310"/>
    </row>
    <row r="3769" spans="13:28" s="308" customFormat="1" x14ac:dyDescent="0.2">
      <c r="M3769" s="309"/>
      <c r="AB3769" s="310"/>
    </row>
    <row r="3770" spans="13:28" s="308" customFormat="1" x14ac:dyDescent="0.2">
      <c r="M3770" s="309"/>
      <c r="AB3770" s="310"/>
    </row>
    <row r="3771" spans="13:28" s="308" customFormat="1" x14ac:dyDescent="0.2">
      <c r="M3771" s="309"/>
      <c r="AB3771" s="310"/>
    </row>
    <row r="3772" spans="13:28" s="308" customFormat="1" x14ac:dyDescent="0.2">
      <c r="M3772" s="309"/>
      <c r="AB3772" s="310"/>
    </row>
    <row r="3773" spans="13:28" s="308" customFormat="1" x14ac:dyDescent="0.2">
      <c r="M3773" s="309"/>
      <c r="AB3773" s="310"/>
    </row>
    <row r="3774" spans="13:28" s="308" customFormat="1" x14ac:dyDescent="0.2">
      <c r="M3774" s="309"/>
      <c r="AB3774" s="310"/>
    </row>
    <row r="3775" spans="13:28" s="308" customFormat="1" x14ac:dyDescent="0.2">
      <c r="M3775" s="309"/>
      <c r="AB3775" s="310"/>
    </row>
    <row r="3776" spans="13:28" s="308" customFormat="1" x14ac:dyDescent="0.2">
      <c r="M3776" s="309"/>
      <c r="AB3776" s="310"/>
    </row>
    <row r="3777" spans="13:28" s="308" customFormat="1" x14ac:dyDescent="0.2">
      <c r="M3777" s="309"/>
      <c r="AB3777" s="310"/>
    </row>
    <row r="3778" spans="13:28" s="308" customFormat="1" x14ac:dyDescent="0.2">
      <c r="M3778" s="309"/>
      <c r="AB3778" s="310"/>
    </row>
    <row r="3779" spans="13:28" s="308" customFormat="1" x14ac:dyDescent="0.2">
      <c r="M3779" s="309"/>
      <c r="AB3779" s="310"/>
    </row>
    <row r="3780" spans="13:28" s="308" customFormat="1" x14ac:dyDescent="0.2">
      <c r="M3780" s="309"/>
      <c r="AB3780" s="310"/>
    </row>
    <row r="3781" spans="13:28" s="308" customFormat="1" x14ac:dyDescent="0.2">
      <c r="M3781" s="309"/>
      <c r="AB3781" s="310"/>
    </row>
    <row r="3782" spans="13:28" s="308" customFormat="1" x14ac:dyDescent="0.2">
      <c r="M3782" s="309"/>
      <c r="AB3782" s="310"/>
    </row>
    <row r="3783" spans="13:28" s="308" customFormat="1" x14ac:dyDescent="0.2">
      <c r="M3783" s="309"/>
      <c r="AB3783" s="310"/>
    </row>
    <row r="3784" spans="13:28" s="308" customFormat="1" x14ac:dyDescent="0.2">
      <c r="M3784" s="309"/>
      <c r="AB3784" s="310"/>
    </row>
    <row r="3785" spans="13:28" s="308" customFormat="1" x14ac:dyDescent="0.2">
      <c r="M3785" s="309"/>
      <c r="AB3785" s="310"/>
    </row>
    <row r="3786" spans="13:28" s="308" customFormat="1" x14ac:dyDescent="0.2">
      <c r="M3786" s="309"/>
      <c r="AB3786" s="310"/>
    </row>
    <row r="3787" spans="13:28" s="308" customFormat="1" x14ac:dyDescent="0.2">
      <c r="M3787" s="309"/>
      <c r="AB3787" s="310"/>
    </row>
    <row r="3788" spans="13:28" s="308" customFormat="1" x14ac:dyDescent="0.2">
      <c r="M3788" s="309"/>
      <c r="AB3788" s="310"/>
    </row>
    <row r="3789" spans="13:28" s="308" customFormat="1" x14ac:dyDescent="0.2">
      <c r="M3789" s="309"/>
      <c r="AB3789" s="310"/>
    </row>
    <row r="3790" spans="13:28" s="308" customFormat="1" x14ac:dyDescent="0.2">
      <c r="M3790" s="309"/>
      <c r="AB3790" s="310"/>
    </row>
    <row r="3791" spans="13:28" s="308" customFormat="1" x14ac:dyDescent="0.2">
      <c r="M3791" s="309"/>
      <c r="AB3791" s="310"/>
    </row>
    <row r="3792" spans="13:28" s="308" customFormat="1" x14ac:dyDescent="0.2">
      <c r="M3792" s="309"/>
      <c r="AB3792" s="310"/>
    </row>
    <row r="3793" spans="13:28" s="308" customFormat="1" x14ac:dyDescent="0.2">
      <c r="M3793" s="309"/>
      <c r="AB3793" s="310"/>
    </row>
    <row r="3794" spans="13:28" s="308" customFormat="1" x14ac:dyDescent="0.2">
      <c r="M3794" s="309"/>
      <c r="AB3794" s="310"/>
    </row>
    <row r="3795" spans="13:28" s="308" customFormat="1" x14ac:dyDescent="0.2">
      <c r="M3795" s="309"/>
      <c r="AB3795" s="310"/>
    </row>
    <row r="3796" spans="13:28" s="308" customFormat="1" x14ac:dyDescent="0.2">
      <c r="M3796" s="309"/>
      <c r="AB3796" s="310"/>
    </row>
    <row r="3797" spans="13:28" s="308" customFormat="1" x14ac:dyDescent="0.2">
      <c r="M3797" s="309"/>
      <c r="AB3797" s="310"/>
    </row>
    <row r="3798" spans="13:28" s="308" customFormat="1" x14ac:dyDescent="0.2">
      <c r="M3798" s="309"/>
      <c r="AB3798" s="310"/>
    </row>
    <row r="3799" spans="13:28" s="308" customFormat="1" x14ac:dyDescent="0.2">
      <c r="M3799" s="309"/>
      <c r="AB3799" s="310"/>
    </row>
    <row r="3800" spans="13:28" s="308" customFormat="1" x14ac:dyDescent="0.2">
      <c r="M3800" s="309"/>
      <c r="AB3800" s="310"/>
    </row>
    <row r="3801" spans="13:28" s="308" customFormat="1" x14ac:dyDescent="0.2">
      <c r="M3801" s="309"/>
      <c r="AB3801" s="310"/>
    </row>
    <row r="3802" spans="13:28" s="308" customFormat="1" x14ac:dyDescent="0.2">
      <c r="M3802" s="309"/>
      <c r="AB3802" s="310"/>
    </row>
    <row r="3803" spans="13:28" s="308" customFormat="1" x14ac:dyDescent="0.2">
      <c r="M3803" s="309"/>
      <c r="AB3803" s="310"/>
    </row>
    <row r="3804" spans="13:28" s="308" customFormat="1" x14ac:dyDescent="0.2">
      <c r="M3804" s="309"/>
      <c r="AB3804" s="310"/>
    </row>
    <row r="3805" spans="13:28" s="308" customFormat="1" x14ac:dyDescent="0.2">
      <c r="M3805" s="309"/>
      <c r="AB3805" s="310"/>
    </row>
    <row r="3806" spans="13:28" s="308" customFormat="1" x14ac:dyDescent="0.2">
      <c r="M3806" s="309"/>
      <c r="AB3806" s="310"/>
    </row>
    <row r="3807" spans="13:28" s="308" customFormat="1" x14ac:dyDescent="0.2">
      <c r="M3807" s="309"/>
      <c r="AB3807" s="310"/>
    </row>
    <row r="3808" spans="13:28" s="308" customFormat="1" x14ac:dyDescent="0.2">
      <c r="M3808" s="309"/>
      <c r="AB3808" s="310"/>
    </row>
    <row r="3809" spans="13:28" s="308" customFormat="1" x14ac:dyDescent="0.2">
      <c r="M3809" s="309"/>
      <c r="AB3809" s="310"/>
    </row>
    <row r="3810" spans="13:28" s="308" customFormat="1" x14ac:dyDescent="0.2">
      <c r="M3810" s="309"/>
      <c r="AB3810" s="310"/>
    </row>
    <row r="3811" spans="13:28" s="308" customFormat="1" x14ac:dyDescent="0.2">
      <c r="M3811" s="309"/>
      <c r="AB3811" s="310"/>
    </row>
    <row r="3812" spans="13:28" s="308" customFormat="1" x14ac:dyDescent="0.2">
      <c r="M3812" s="309"/>
      <c r="AB3812" s="310"/>
    </row>
    <row r="3813" spans="13:28" s="308" customFormat="1" x14ac:dyDescent="0.2">
      <c r="M3813" s="309"/>
      <c r="AB3813" s="310"/>
    </row>
    <row r="3814" spans="13:28" s="308" customFormat="1" x14ac:dyDescent="0.2">
      <c r="M3814" s="309"/>
      <c r="AB3814" s="310"/>
    </row>
    <row r="3815" spans="13:28" s="308" customFormat="1" x14ac:dyDescent="0.2">
      <c r="M3815" s="309"/>
      <c r="AB3815" s="310"/>
    </row>
    <row r="3816" spans="13:28" s="308" customFormat="1" x14ac:dyDescent="0.2">
      <c r="M3816" s="309"/>
      <c r="AB3816" s="310"/>
    </row>
    <row r="3817" spans="13:28" s="308" customFormat="1" x14ac:dyDescent="0.2">
      <c r="M3817" s="309"/>
      <c r="AB3817" s="310"/>
    </row>
    <row r="3818" spans="13:28" s="308" customFormat="1" x14ac:dyDescent="0.2">
      <c r="M3818" s="309"/>
      <c r="AB3818" s="310"/>
    </row>
    <row r="3819" spans="13:28" s="308" customFormat="1" x14ac:dyDescent="0.2">
      <c r="M3819" s="309"/>
      <c r="AB3819" s="310"/>
    </row>
    <row r="3820" spans="13:28" s="308" customFormat="1" x14ac:dyDescent="0.2">
      <c r="M3820" s="309"/>
      <c r="AB3820" s="310"/>
    </row>
    <row r="3821" spans="13:28" s="308" customFormat="1" x14ac:dyDescent="0.2">
      <c r="M3821" s="309"/>
      <c r="AB3821" s="310"/>
    </row>
    <row r="3822" spans="13:28" s="308" customFormat="1" x14ac:dyDescent="0.2">
      <c r="M3822" s="309"/>
      <c r="AB3822" s="310"/>
    </row>
    <row r="3823" spans="13:28" s="308" customFormat="1" x14ac:dyDescent="0.2">
      <c r="M3823" s="309"/>
      <c r="AB3823" s="310"/>
    </row>
    <row r="3824" spans="13:28" s="308" customFormat="1" x14ac:dyDescent="0.2">
      <c r="M3824" s="309"/>
      <c r="AB3824" s="310"/>
    </row>
    <row r="3825" spans="13:28" s="308" customFormat="1" x14ac:dyDescent="0.2">
      <c r="M3825" s="309"/>
      <c r="AB3825" s="310"/>
    </row>
    <row r="3826" spans="13:28" s="308" customFormat="1" x14ac:dyDescent="0.2">
      <c r="M3826" s="309"/>
      <c r="AB3826" s="310"/>
    </row>
    <row r="3827" spans="13:28" s="308" customFormat="1" x14ac:dyDescent="0.2">
      <c r="M3827" s="309"/>
      <c r="AB3827" s="310"/>
    </row>
    <row r="3828" spans="13:28" s="308" customFormat="1" x14ac:dyDescent="0.2">
      <c r="M3828" s="309"/>
      <c r="AB3828" s="310"/>
    </row>
    <row r="3829" spans="13:28" s="308" customFormat="1" x14ac:dyDescent="0.2">
      <c r="M3829" s="309"/>
      <c r="AB3829" s="310"/>
    </row>
    <row r="3830" spans="13:28" s="308" customFormat="1" x14ac:dyDescent="0.2">
      <c r="M3830" s="309"/>
      <c r="AB3830" s="310"/>
    </row>
    <row r="3831" spans="13:28" s="308" customFormat="1" x14ac:dyDescent="0.2">
      <c r="M3831" s="309"/>
      <c r="AB3831" s="310"/>
    </row>
    <row r="3832" spans="13:28" s="308" customFormat="1" x14ac:dyDescent="0.2">
      <c r="M3832" s="309"/>
      <c r="AB3832" s="310"/>
    </row>
    <row r="3833" spans="13:28" s="308" customFormat="1" x14ac:dyDescent="0.2">
      <c r="M3833" s="309"/>
      <c r="AB3833" s="310"/>
    </row>
    <row r="3834" spans="13:28" s="308" customFormat="1" x14ac:dyDescent="0.2">
      <c r="M3834" s="309"/>
      <c r="AB3834" s="310"/>
    </row>
    <row r="3835" spans="13:28" s="308" customFormat="1" x14ac:dyDescent="0.2">
      <c r="M3835" s="309"/>
      <c r="AB3835" s="310"/>
    </row>
    <row r="3836" spans="13:28" s="308" customFormat="1" x14ac:dyDescent="0.2">
      <c r="M3836" s="309"/>
      <c r="AB3836" s="310"/>
    </row>
    <row r="3837" spans="13:28" s="308" customFormat="1" x14ac:dyDescent="0.2">
      <c r="M3837" s="309"/>
      <c r="AB3837" s="310"/>
    </row>
    <row r="3838" spans="13:28" s="308" customFormat="1" x14ac:dyDescent="0.2">
      <c r="M3838" s="309"/>
      <c r="AB3838" s="310"/>
    </row>
    <row r="3839" spans="13:28" s="308" customFormat="1" x14ac:dyDescent="0.2">
      <c r="M3839" s="309"/>
      <c r="AB3839" s="310"/>
    </row>
    <row r="3840" spans="13:28" s="308" customFormat="1" x14ac:dyDescent="0.2">
      <c r="M3840" s="309"/>
      <c r="AB3840" s="310"/>
    </row>
    <row r="3841" spans="13:28" s="308" customFormat="1" x14ac:dyDescent="0.2">
      <c r="M3841" s="309"/>
      <c r="AB3841" s="310"/>
    </row>
    <row r="3842" spans="13:28" s="308" customFormat="1" x14ac:dyDescent="0.2">
      <c r="M3842" s="309"/>
      <c r="AB3842" s="310"/>
    </row>
    <row r="3843" spans="13:28" s="308" customFormat="1" x14ac:dyDescent="0.2">
      <c r="M3843" s="309"/>
      <c r="AB3843" s="310"/>
    </row>
    <row r="3844" spans="13:28" s="308" customFormat="1" x14ac:dyDescent="0.2">
      <c r="M3844" s="309"/>
      <c r="AB3844" s="310"/>
    </row>
    <row r="3845" spans="13:28" s="308" customFormat="1" x14ac:dyDescent="0.2">
      <c r="M3845" s="309"/>
      <c r="AB3845" s="310"/>
    </row>
    <row r="3846" spans="13:28" s="308" customFormat="1" x14ac:dyDescent="0.2">
      <c r="M3846" s="309"/>
      <c r="AB3846" s="310"/>
    </row>
    <row r="3847" spans="13:28" s="308" customFormat="1" x14ac:dyDescent="0.2">
      <c r="M3847" s="309"/>
      <c r="AB3847" s="310"/>
    </row>
    <row r="3848" spans="13:28" s="308" customFormat="1" x14ac:dyDescent="0.2">
      <c r="M3848" s="309"/>
      <c r="AB3848" s="310"/>
    </row>
    <row r="3849" spans="13:28" s="308" customFormat="1" x14ac:dyDescent="0.2">
      <c r="M3849" s="309"/>
      <c r="AB3849" s="310"/>
    </row>
    <row r="3850" spans="13:28" s="308" customFormat="1" x14ac:dyDescent="0.2">
      <c r="M3850" s="309"/>
      <c r="AB3850" s="310"/>
    </row>
    <row r="3851" spans="13:28" s="308" customFormat="1" x14ac:dyDescent="0.2">
      <c r="M3851" s="309"/>
      <c r="AB3851" s="310"/>
    </row>
    <row r="3852" spans="13:28" s="308" customFormat="1" x14ac:dyDescent="0.2">
      <c r="M3852" s="309"/>
      <c r="AB3852" s="310"/>
    </row>
    <row r="3853" spans="13:28" s="308" customFormat="1" x14ac:dyDescent="0.2">
      <c r="M3853" s="309"/>
      <c r="AB3853" s="310"/>
    </row>
    <row r="3854" spans="13:28" s="308" customFormat="1" x14ac:dyDescent="0.2">
      <c r="M3854" s="309"/>
      <c r="AB3854" s="310"/>
    </row>
    <row r="3855" spans="13:28" s="308" customFormat="1" x14ac:dyDescent="0.2">
      <c r="M3855" s="309"/>
      <c r="AB3855" s="310"/>
    </row>
    <row r="3856" spans="13:28" s="308" customFormat="1" x14ac:dyDescent="0.2">
      <c r="M3856" s="309"/>
      <c r="AB3856" s="310"/>
    </row>
    <row r="3857" spans="13:28" s="308" customFormat="1" x14ac:dyDescent="0.2">
      <c r="M3857" s="309"/>
      <c r="AB3857" s="310"/>
    </row>
    <row r="3858" spans="13:28" s="308" customFormat="1" x14ac:dyDescent="0.2">
      <c r="M3858" s="309"/>
      <c r="AB3858" s="310"/>
    </row>
    <row r="3859" spans="13:28" s="308" customFormat="1" x14ac:dyDescent="0.2">
      <c r="M3859" s="309"/>
      <c r="AB3859" s="310"/>
    </row>
    <row r="3860" spans="13:28" s="308" customFormat="1" x14ac:dyDescent="0.2">
      <c r="M3860" s="309"/>
      <c r="AB3860" s="310"/>
    </row>
    <row r="3861" spans="13:28" s="308" customFormat="1" x14ac:dyDescent="0.2">
      <c r="M3861" s="309"/>
      <c r="AB3861" s="310"/>
    </row>
    <row r="3862" spans="13:28" s="308" customFormat="1" x14ac:dyDescent="0.2">
      <c r="M3862" s="309"/>
      <c r="AB3862" s="310"/>
    </row>
    <row r="3863" spans="13:28" s="308" customFormat="1" x14ac:dyDescent="0.2">
      <c r="M3863" s="309"/>
      <c r="AB3863" s="310"/>
    </row>
    <row r="3864" spans="13:28" s="308" customFormat="1" x14ac:dyDescent="0.2">
      <c r="M3864" s="309"/>
      <c r="AB3864" s="310"/>
    </row>
    <row r="3865" spans="13:28" s="308" customFormat="1" x14ac:dyDescent="0.2">
      <c r="M3865" s="309"/>
      <c r="AB3865" s="310"/>
    </row>
    <row r="3866" spans="13:28" s="308" customFormat="1" x14ac:dyDescent="0.2">
      <c r="M3866" s="309"/>
      <c r="AB3866" s="310"/>
    </row>
    <row r="3867" spans="13:28" s="308" customFormat="1" x14ac:dyDescent="0.2">
      <c r="M3867" s="309"/>
      <c r="AB3867" s="310"/>
    </row>
    <row r="3868" spans="13:28" s="308" customFormat="1" x14ac:dyDescent="0.2">
      <c r="M3868" s="309"/>
      <c r="AB3868" s="310"/>
    </row>
    <row r="3869" spans="13:28" s="308" customFormat="1" x14ac:dyDescent="0.2">
      <c r="M3869" s="309"/>
      <c r="AB3869" s="310"/>
    </row>
    <row r="3870" spans="13:28" s="308" customFormat="1" x14ac:dyDescent="0.2">
      <c r="M3870" s="309"/>
      <c r="AB3870" s="310"/>
    </row>
    <row r="3871" spans="13:28" s="308" customFormat="1" x14ac:dyDescent="0.2">
      <c r="M3871" s="309"/>
      <c r="AB3871" s="310"/>
    </row>
    <row r="3872" spans="13:28" s="308" customFormat="1" x14ac:dyDescent="0.2">
      <c r="M3872" s="309"/>
      <c r="AB3872" s="310"/>
    </row>
    <row r="3873" spans="13:28" s="308" customFormat="1" x14ac:dyDescent="0.2">
      <c r="M3873" s="309"/>
      <c r="AB3873" s="310"/>
    </row>
    <row r="3874" spans="13:28" s="308" customFormat="1" x14ac:dyDescent="0.2">
      <c r="M3874" s="309"/>
      <c r="AB3874" s="310"/>
    </row>
    <row r="3875" spans="13:28" s="308" customFormat="1" x14ac:dyDescent="0.2">
      <c r="M3875" s="309"/>
      <c r="AB3875" s="310"/>
    </row>
    <row r="3876" spans="13:28" s="308" customFormat="1" x14ac:dyDescent="0.2">
      <c r="M3876" s="309"/>
      <c r="AB3876" s="310"/>
    </row>
    <row r="3877" spans="13:28" s="308" customFormat="1" x14ac:dyDescent="0.2">
      <c r="M3877" s="309"/>
      <c r="AB3877" s="310"/>
    </row>
    <row r="3878" spans="13:28" s="308" customFormat="1" x14ac:dyDescent="0.2">
      <c r="M3878" s="309"/>
      <c r="AB3878" s="310"/>
    </row>
    <row r="3879" spans="13:28" s="308" customFormat="1" x14ac:dyDescent="0.2">
      <c r="M3879" s="309"/>
      <c r="AB3879" s="310"/>
    </row>
    <row r="3880" spans="13:28" s="308" customFormat="1" x14ac:dyDescent="0.2">
      <c r="M3880" s="309"/>
      <c r="AB3880" s="310"/>
    </row>
    <row r="3881" spans="13:28" s="308" customFormat="1" x14ac:dyDescent="0.2">
      <c r="M3881" s="309"/>
      <c r="AB3881" s="310"/>
    </row>
    <row r="3882" spans="13:28" s="308" customFormat="1" x14ac:dyDescent="0.2">
      <c r="M3882" s="309"/>
      <c r="AB3882" s="310"/>
    </row>
    <row r="3883" spans="13:28" s="308" customFormat="1" x14ac:dyDescent="0.2">
      <c r="M3883" s="309"/>
      <c r="AB3883" s="310"/>
    </row>
    <row r="3884" spans="13:28" s="308" customFormat="1" x14ac:dyDescent="0.2">
      <c r="M3884" s="309"/>
      <c r="AB3884" s="310"/>
    </row>
    <row r="3885" spans="13:28" s="308" customFormat="1" x14ac:dyDescent="0.2">
      <c r="M3885" s="309"/>
      <c r="AB3885" s="310"/>
    </row>
    <row r="3886" spans="13:28" s="308" customFormat="1" x14ac:dyDescent="0.2">
      <c r="M3886" s="309"/>
      <c r="AB3886" s="310"/>
    </row>
    <row r="3887" spans="13:28" s="308" customFormat="1" x14ac:dyDescent="0.2">
      <c r="M3887" s="309"/>
      <c r="AB3887" s="310"/>
    </row>
    <row r="3888" spans="13:28" s="308" customFormat="1" x14ac:dyDescent="0.2">
      <c r="M3888" s="309"/>
      <c r="AB3888" s="310"/>
    </row>
    <row r="3889" spans="13:28" s="308" customFormat="1" x14ac:dyDescent="0.2">
      <c r="M3889" s="309"/>
      <c r="AB3889" s="310"/>
    </row>
    <row r="3890" spans="13:28" s="308" customFormat="1" x14ac:dyDescent="0.2">
      <c r="M3890" s="309"/>
      <c r="AB3890" s="310"/>
    </row>
    <row r="3891" spans="13:28" s="308" customFormat="1" x14ac:dyDescent="0.2">
      <c r="M3891" s="309"/>
      <c r="AB3891" s="310"/>
    </row>
    <row r="3892" spans="13:28" s="308" customFormat="1" x14ac:dyDescent="0.2">
      <c r="M3892" s="309"/>
      <c r="AB3892" s="310"/>
    </row>
    <row r="3893" spans="13:28" s="308" customFormat="1" x14ac:dyDescent="0.2">
      <c r="M3893" s="309"/>
      <c r="AB3893" s="310"/>
    </row>
    <row r="3894" spans="13:28" s="308" customFormat="1" x14ac:dyDescent="0.2">
      <c r="M3894" s="309"/>
      <c r="AB3894" s="310"/>
    </row>
    <row r="3895" spans="13:28" s="308" customFormat="1" x14ac:dyDescent="0.2">
      <c r="M3895" s="309"/>
      <c r="AB3895" s="310"/>
    </row>
    <row r="3896" spans="13:28" s="308" customFormat="1" x14ac:dyDescent="0.2">
      <c r="M3896" s="309"/>
      <c r="AB3896" s="310"/>
    </row>
    <row r="3897" spans="13:28" s="308" customFormat="1" x14ac:dyDescent="0.2">
      <c r="M3897" s="309"/>
      <c r="AB3897" s="310"/>
    </row>
    <row r="3898" spans="13:28" s="308" customFormat="1" x14ac:dyDescent="0.2">
      <c r="M3898" s="309"/>
      <c r="AB3898" s="310"/>
    </row>
    <row r="3899" spans="13:28" s="308" customFormat="1" x14ac:dyDescent="0.2">
      <c r="M3899" s="309"/>
      <c r="AB3899" s="310"/>
    </row>
    <row r="3900" spans="13:28" s="308" customFormat="1" x14ac:dyDescent="0.2">
      <c r="M3900" s="309"/>
      <c r="AB3900" s="310"/>
    </row>
    <row r="3901" spans="13:28" s="308" customFormat="1" x14ac:dyDescent="0.2">
      <c r="M3901" s="309"/>
      <c r="AB3901" s="310"/>
    </row>
    <row r="3902" spans="13:28" s="308" customFormat="1" x14ac:dyDescent="0.2">
      <c r="M3902" s="309"/>
      <c r="AB3902" s="310"/>
    </row>
    <row r="3903" spans="13:28" s="308" customFormat="1" x14ac:dyDescent="0.2">
      <c r="M3903" s="309"/>
      <c r="AB3903" s="310"/>
    </row>
    <row r="3904" spans="13:28" s="308" customFormat="1" x14ac:dyDescent="0.2">
      <c r="M3904" s="309"/>
      <c r="AB3904" s="310"/>
    </row>
    <row r="3905" spans="13:28" s="308" customFormat="1" x14ac:dyDescent="0.2">
      <c r="M3905" s="309"/>
      <c r="AB3905" s="310"/>
    </row>
    <row r="3906" spans="13:28" s="308" customFormat="1" x14ac:dyDescent="0.2">
      <c r="M3906" s="309"/>
      <c r="AB3906" s="310"/>
    </row>
    <row r="3907" spans="13:28" s="308" customFormat="1" x14ac:dyDescent="0.2">
      <c r="M3907" s="309"/>
      <c r="AB3907" s="310"/>
    </row>
    <row r="3908" spans="13:28" s="308" customFormat="1" x14ac:dyDescent="0.2">
      <c r="M3908" s="309"/>
      <c r="AB3908" s="310"/>
    </row>
    <row r="3909" spans="13:28" s="308" customFormat="1" x14ac:dyDescent="0.2">
      <c r="M3909" s="309"/>
      <c r="AB3909" s="310"/>
    </row>
    <row r="3910" spans="13:28" s="308" customFormat="1" x14ac:dyDescent="0.2">
      <c r="M3910" s="309"/>
      <c r="AB3910" s="310"/>
    </row>
    <row r="3911" spans="13:28" s="308" customFormat="1" x14ac:dyDescent="0.2">
      <c r="M3911" s="309"/>
      <c r="AB3911" s="310"/>
    </row>
    <row r="3912" spans="13:28" s="308" customFormat="1" x14ac:dyDescent="0.2">
      <c r="M3912" s="309"/>
      <c r="AB3912" s="310"/>
    </row>
    <row r="3913" spans="13:28" s="308" customFormat="1" x14ac:dyDescent="0.2">
      <c r="M3913" s="309"/>
      <c r="AB3913" s="310"/>
    </row>
    <row r="3914" spans="13:28" s="308" customFormat="1" x14ac:dyDescent="0.2">
      <c r="M3914" s="309"/>
      <c r="AB3914" s="310"/>
    </row>
    <row r="3915" spans="13:28" s="308" customFormat="1" x14ac:dyDescent="0.2">
      <c r="M3915" s="309"/>
      <c r="AB3915" s="310"/>
    </row>
    <row r="3916" spans="13:28" s="308" customFormat="1" x14ac:dyDescent="0.2">
      <c r="M3916" s="309"/>
      <c r="AB3916" s="310"/>
    </row>
    <row r="3917" spans="13:28" s="308" customFormat="1" x14ac:dyDescent="0.2">
      <c r="M3917" s="309"/>
      <c r="AB3917" s="310"/>
    </row>
    <row r="3918" spans="13:28" s="308" customFormat="1" x14ac:dyDescent="0.2">
      <c r="M3918" s="309"/>
      <c r="AB3918" s="310"/>
    </row>
    <row r="3919" spans="13:28" s="308" customFormat="1" x14ac:dyDescent="0.2">
      <c r="M3919" s="309"/>
      <c r="AB3919" s="310"/>
    </row>
    <row r="3920" spans="13:28" s="308" customFormat="1" x14ac:dyDescent="0.2">
      <c r="M3920" s="309"/>
      <c r="AB3920" s="310"/>
    </row>
    <row r="3921" spans="13:28" s="308" customFormat="1" x14ac:dyDescent="0.2">
      <c r="M3921" s="309"/>
      <c r="AB3921" s="310"/>
    </row>
    <row r="3922" spans="13:28" s="308" customFormat="1" x14ac:dyDescent="0.2">
      <c r="M3922" s="309"/>
      <c r="AB3922" s="310"/>
    </row>
    <row r="3923" spans="13:28" s="308" customFormat="1" x14ac:dyDescent="0.2">
      <c r="M3923" s="309"/>
      <c r="AB3923" s="310"/>
    </row>
    <row r="3924" spans="13:28" s="308" customFormat="1" x14ac:dyDescent="0.2">
      <c r="M3924" s="309"/>
      <c r="AB3924" s="310"/>
    </row>
    <row r="3925" spans="13:28" s="308" customFormat="1" x14ac:dyDescent="0.2">
      <c r="M3925" s="309"/>
      <c r="AB3925" s="310"/>
    </row>
    <row r="3926" spans="13:28" s="308" customFormat="1" x14ac:dyDescent="0.2">
      <c r="M3926" s="309"/>
      <c r="AB3926" s="310"/>
    </row>
    <row r="3927" spans="13:28" s="308" customFormat="1" x14ac:dyDescent="0.2">
      <c r="M3927" s="309"/>
      <c r="AB3927" s="310"/>
    </row>
    <row r="3928" spans="13:28" s="308" customFormat="1" x14ac:dyDescent="0.2">
      <c r="M3928" s="309"/>
      <c r="AB3928" s="310"/>
    </row>
    <row r="3929" spans="13:28" s="308" customFormat="1" x14ac:dyDescent="0.2">
      <c r="M3929" s="309"/>
      <c r="AB3929" s="310"/>
    </row>
    <row r="3930" spans="13:28" s="308" customFormat="1" x14ac:dyDescent="0.2">
      <c r="M3930" s="309"/>
      <c r="AB3930" s="310"/>
    </row>
    <row r="3931" spans="13:28" s="308" customFormat="1" x14ac:dyDescent="0.2">
      <c r="M3931" s="309"/>
      <c r="AB3931" s="310"/>
    </row>
    <row r="3932" spans="13:28" s="308" customFormat="1" x14ac:dyDescent="0.2">
      <c r="M3932" s="309"/>
      <c r="AB3932" s="310"/>
    </row>
    <row r="3933" spans="13:28" s="308" customFormat="1" x14ac:dyDescent="0.2">
      <c r="M3933" s="309"/>
      <c r="AB3933" s="310"/>
    </row>
    <row r="3934" spans="13:28" s="308" customFormat="1" x14ac:dyDescent="0.2">
      <c r="M3934" s="309"/>
      <c r="AB3934" s="310"/>
    </row>
    <row r="3935" spans="13:28" s="308" customFormat="1" x14ac:dyDescent="0.2">
      <c r="M3935" s="309"/>
      <c r="AB3935" s="310"/>
    </row>
    <row r="3936" spans="13:28" s="308" customFormat="1" x14ac:dyDescent="0.2">
      <c r="M3936" s="309"/>
      <c r="AB3936" s="310"/>
    </row>
    <row r="3937" spans="13:28" s="308" customFormat="1" x14ac:dyDescent="0.2">
      <c r="M3937" s="309"/>
      <c r="AB3937" s="310"/>
    </row>
    <row r="3938" spans="13:28" s="308" customFormat="1" x14ac:dyDescent="0.2">
      <c r="M3938" s="309"/>
      <c r="AB3938" s="310"/>
    </row>
    <row r="3939" spans="13:28" s="308" customFormat="1" x14ac:dyDescent="0.2">
      <c r="M3939" s="309"/>
      <c r="AB3939" s="310"/>
    </row>
    <row r="3940" spans="13:28" s="308" customFormat="1" x14ac:dyDescent="0.2">
      <c r="M3940" s="309"/>
      <c r="AB3940" s="310"/>
    </row>
    <row r="3941" spans="13:28" s="308" customFormat="1" x14ac:dyDescent="0.2">
      <c r="M3941" s="309"/>
      <c r="AB3941" s="310"/>
    </row>
    <row r="3942" spans="13:28" s="308" customFormat="1" x14ac:dyDescent="0.2">
      <c r="M3942" s="309"/>
      <c r="AB3942" s="310"/>
    </row>
    <row r="3943" spans="13:28" s="308" customFormat="1" x14ac:dyDescent="0.2">
      <c r="M3943" s="309"/>
      <c r="AB3943" s="310"/>
    </row>
    <row r="3944" spans="13:28" s="308" customFormat="1" x14ac:dyDescent="0.2">
      <c r="M3944" s="309"/>
      <c r="AB3944" s="310"/>
    </row>
    <row r="3945" spans="13:28" s="308" customFormat="1" x14ac:dyDescent="0.2">
      <c r="M3945" s="309"/>
      <c r="AB3945" s="310"/>
    </row>
    <row r="3946" spans="13:28" s="308" customFormat="1" x14ac:dyDescent="0.2">
      <c r="M3946" s="309"/>
      <c r="AB3946" s="310"/>
    </row>
    <row r="3947" spans="13:28" s="308" customFormat="1" x14ac:dyDescent="0.2">
      <c r="M3947" s="309"/>
      <c r="AB3947" s="310"/>
    </row>
    <row r="3948" spans="13:28" s="308" customFormat="1" x14ac:dyDescent="0.2">
      <c r="M3948" s="309"/>
      <c r="AB3948" s="310"/>
    </row>
    <row r="3949" spans="13:28" s="308" customFormat="1" x14ac:dyDescent="0.2">
      <c r="M3949" s="309"/>
      <c r="AB3949" s="310"/>
    </row>
    <row r="3950" spans="13:28" s="308" customFormat="1" x14ac:dyDescent="0.2">
      <c r="M3950" s="309"/>
      <c r="AB3950" s="310"/>
    </row>
    <row r="3951" spans="13:28" s="308" customFormat="1" x14ac:dyDescent="0.2">
      <c r="M3951" s="309"/>
      <c r="AB3951" s="310"/>
    </row>
    <row r="3952" spans="13:28" s="308" customFormat="1" x14ac:dyDescent="0.2">
      <c r="M3952" s="309"/>
      <c r="AB3952" s="310"/>
    </row>
    <row r="3953" spans="13:28" s="308" customFormat="1" x14ac:dyDescent="0.2">
      <c r="M3953" s="309"/>
      <c r="AB3953" s="310"/>
    </row>
    <row r="3954" spans="13:28" s="308" customFormat="1" x14ac:dyDescent="0.2">
      <c r="M3954" s="309"/>
      <c r="AB3954" s="310"/>
    </row>
    <row r="3955" spans="13:28" s="308" customFormat="1" x14ac:dyDescent="0.2">
      <c r="M3955" s="309"/>
      <c r="AB3955" s="310"/>
    </row>
    <row r="3956" spans="13:28" s="308" customFormat="1" x14ac:dyDescent="0.2">
      <c r="M3956" s="309"/>
      <c r="AB3956" s="310"/>
    </row>
    <row r="3957" spans="13:28" s="308" customFormat="1" x14ac:dyDescent="0.2">
      <c r="M3957" s="309"/>
      <c r="AB3957" s="310"/>
    </row>
    <row r="3958" spans="13:28" s="308" customFormat="1" x14ac:dyDescent="0.2">
      <c r="M3958" s="309"/>
      <c r="AB3958" s="310"/>
    </row>
    <row r="3959" spans="13:28" s="308" customFormat="1" x14ac:dyDescent="0.2">
      <c r="M3959" s="309"/>
      <c r="AB3959" s="310"/>
    </row>
    <row r="3960" spans="13:28" s="308" customFormat="1" x14ac:dyDescent="0.2">
      <c r="M3960" s="309"/>
      <c r="AB3960" s="310"/>
    </row>
    <row r="3961" spans="13:28" s="308" customFormat="1" x14ac:dyDescent="0.2">
      <c r="M3961" s="309"/>
      <c r="AB3961" s="310"/>
    </row>
    <row r="3962" spans="13:28" s="308" customFormat="1" x14ac:dyDescent="0.2">
      <c r="M3962" s="309"/>
      <c r="AB3962" s="310"/>
    </row>
    <row r="3963" spans="13:28" s="308" customFormat="1" x14ac:dyDescent="0.2">
      <c r="M3963" s="309"/>
      <c r="AB3963" s="310"/>
    </row>
    <row r="3964" spans="13:28" s="308" customFormat="1" x14ac:dyDescent="0.2">
      <c r="M3964" s="309"/>
      <c r="AB3964" s="310"/>
    </row>
    <row r="3965" spans="13:28" s="308" customFormat="1" x14ac:dyDescent="0.2">
      <c r="M3965" s="309"/>
      <c r="AB3965" s="310"/>
    </row>
    <row r="3966" spans="13:28" s="308" customFormat="1" x14ac:dyDescent="0.2">
      <c r="M3966" s="309"/>
      <c r="AB3966" s="310"/>
    </row>
    <row r="3967" spans="13:28" s="308" customFormat="1" x14ac:dyDescent="0.2">
      <c r="M3967" s="309"/>
      <c r="AB3967" s="310"/>
    </row>
    <row r="3968" spans="13:28" s="308" customFormat="1" x14ac:dyDescent="0.2">
      <c r="M3968" s="309"/>
      <c r="AB3968" s="310"/>
    </row>
    <row r="3969" spans="13:28" s="308" customFormat="1" x14ac:dyDescent="0.2">
      <c r="M3969" s="309"/>
      <c r="AB3969" s="310"/>
    </row>
    <row r="3970" spans="13:28" s="308" customFormat="1" x14ac:dyDescent="0.2">
      <c r="M3970" s="309"/>
      <c r="AB3970" s="310"/>
    </row>
    <row r="3971" spans="13:28" s="308" customFormat="1" x14ac:dyDescent="0.2">
      <c r="M3971" s="309"/>
      <c r="AB3971" s="310"/>
    </row>
    <row r="3972" spans="13:28" s="308" customFormat="1" x14ac:dyDescent="0.2">
      <c r="M3972" s="309"/>
      <c r="AB3972" s="310"/>
    </row>
    <row r="3973" spans="13:28" s="308" customFormat="1" x14ac:dyDescent="0.2">
      <c r="M3973" s="309"/>
      <c r="AB3973" s="310"/>
    </row>
    <row r="3974" spans="13:28" s="308" customFormat="1" x14ac:dyDescent="0.2">
      <c r="M3974" s="309"/>
      <c r="AB3974" s="310"/>
    </row>
    <row r="3975" spans="13:28" s="308" customFormat="1" x14ac:dyDescent="0.2">
      <c r="M3975" s="309"/>
      <c r="AB3975" s="310"/>
    </row>
    <row r="3976" spans="13:28" s="308" customFormat="1" x14ac:dyDescent="0.2">
      <c r="M3976" s="309"/>
      <c r="AB3976" s="310"/>
    </row>
    <row r="3977" spans="13:28" s="308" customFormat="1" x14ac:dyDescent="0.2">
      <c r="M3977" s="309"/>
      <c r="AB3977" s="310"/>
    </row>
    <row r="3978" spans="13:28" s="308" customFormat="1" x14ac:dyDescent="0.2">
      <c r="M3978" s="309"/>
      <c r="AB3978" s="310"/>
    </row>
    <row r="3979" spans="13:28" s="308" customFormat="1" x14ac:dyDescent="0.2">
      <c r="M3979" s="309"/>
      <c r="AB3979" s="310"/>
    </row>
    <row r="3980" spans="13:28" s="308" customFormat="1" x14ac:dyDescent="0.2">
      <c r="M3980" s="309"/>
      <c r="AB3980" s="310"/>
    </row>
    <row r="3981" spans="13:28" s="308" customFormat="1" x14ac:dyDescent="0.2">
      <c r="M3981" s="309"/>
      <c r="AB3981" s="310"/>
    </row>
    <row r="3982" spans="13:28" s="308" customFormat="1" x14ac:dyDescent="0.2">
      <c r="M3982" s="309"/>
      <c r="AB3982" s="310"/>
    </row>
    <row r="3983" spans="13:28" s="308" customFormat="1" x14ac:dyDescent="0.2">
      <c r="M3983" s="309"/>
      <c r="AB3983" s="310"/>
    </row>
    <row r="3984" spans="13:28" s="308" customFormat="1" x14ac:dyDescent="0.2">
      <c r="M3984" s="309"/>
      <c r="AB3984" s="310"/>
    </row>
    <row r="3985" spans="13:28" s="308" customFormat="1" x14ac:dyDescent="0.2">
      <c r="M3985" s="309"/>
      <c r="AB3985" s="310"/>
    </row>
    <row r="3986" spans="13:28" s="308" customFormat="1" x14ac:dyDescent="0.2">
      <c r="M3986" s="309"/>
      <c r="AB3986" s="310"/>
    </row>
    <row r="3987" spans="13:28" s="308" customFormat="1" x14ac:dyDescent="0.2">
      <c r="M3987" s="309"/>
      <c r="AB3987" s="310"/>
    </row>
    <row r="3988" spans="13:28" s="308" customFormat="1" x14ac:dyDescent="0.2">
      <c r="M3988" s="309"/>
      <c r="AB3988" s="310"/>
    </row>
    <row r="3989" spans="13:28" s="308" customFormat="1" x14ac:dyDescent="0.2">
      <c r="M3989" s="309"/>
      <c r="AB3989" s="310"/>
    </row>
    <row r="3990" spans="13:28" s="308" customFormat="1" x14ac:dyDescent="0.2">
      <c r="M3990" s="309"/>
      <c r="AB3990" s="310"/>
    </row>
    <row r="3991" spans="13:28" s="308" customFormat="1" x14ac:dyDescent="0.2">
      <c r="M3991" s="309"/>
      <c r="AB3991" s="310"/>
    </row>
    <row r="3992" spans="13:28" s="308" customFormat="1" x14ac:dyDescent="0.2">
      <c r="M3992" s="309"/>
      <c r="AB3992" s="310"/>
    </row>
    <row r="3993" spans="13:28" s="308" customFormat="1" x14ac:dyDescent="0.2">
      <c r="M3993" s="309"/>
      <c r="AB3993" s="310"/>
    </row>
    <row r="3994" spans="13:28" s="308" customFormat="1" x14ac:dyDescent="0.2">
      <c r="M3994" s="309"/>
      <c r="AB3994" s="310"/>
    </row>
    <row r="3995" spans="13:28" s="308" customFormat="1" x14ac:dyDescent="0.2">
      <c r="M3995" s="309"/>
      <c r="AB3995" s="310"/>
    </row>
    <row r="3996" spans="13:28" s="308" customFormat="1" x14ac:dyDescent="0.2">
      <c r="M3996" s="309"/>
      <c r="AB3996" s="310"/>
    </row>
    <row r="3997" spans="13:28" s="308" customFormat="1" x14ac:dyDescent="0.2">
      <c r="M3997" s="309"/>
      <c r="AB3997" s="310"/>
    </row>
    <row r="3998" spans="13:28" s="308" customFormat="1" x14ac:dyDescent="0.2">
      <c r="M3998" s="309"/>
      <c r="AB3998" s="310"/>
    </row>
    <row r="3999" spans="13:28" s="308" customFormat="1" x14ac:dyDescent="0.2">
      <c r="M3999" s="309"/>
      <c r="AB3999" s="310"/>
    </row>
    <row r="4000" spans="13:28" s="308" customFormat="1" x14ac:dyDescent="0.2">
      <c r="M4000" s="309"/>
      <c r="AB4000" s="310"/>
    </row>
    <row r="4001" spans="13:28" s="308" customFormat="1" x14ac:dyDescent="0.2">
      <c r="M4001" s="309"/>
      <c r="AB4001" s="310"/>
    </row>
    <row r="4002" spans="13:28" s="308" customFormat="1" x14ac:dyDescent="0.2">
      <c r="M4002" s="309"/>
      <c r="AB4002" s="310"/>
    </row>
    <row r="4003" spans="13:28" s="308" customFormat="1" x14ac:dyDescent="0.2">
      <c r="M4003" s="309"/>
      <c r="AB4003" s="310"/>
    </row>
    <row r="4004" spans="13:28" s="308" customFormat="1" x14ac:dyDescent="0.2">
      <c r="M4004" s="309"/>
      <c r="AB4004" s="310"/>
    </row>
    <row r="4005" spans="13:28" s="308" customFormat="1" x14ac:dyDescent="0.2">
      <c r="M4005" s="309"/>
      <c r="AB4005" s="310"/>
    </row>
    <row r="4006" spans="13:28" s="308" customFormat="1" x14ac:dyDescent="0.2">
      <c r="M4006" s="309"/>
      <c r="AB4006" s="310"/>
    </row>
    <row r="4007" spans="13:28" s="308" customFormat="1" x14ac:dyDescent="0.2">
      <c r="M4007" s="309"/>
      <c r="AB4007" s="310"/>
    </row>
    <row r="4008" spans="13:28" s="308" customFormat="1" x14ac:dyDescent="0.2">
      <c r="M4008" s="309"/>
      <c r="AB4008" s="310"/>
    </row>
    <row r="4009" spans="13:28" s="308" customFormat="1" x14ac:dyDescent="0.2">
      <c r="M4009" s="309"/>
      <c r="AB4009" s="310"/>
    </row>
    <row r="4010" spans="13:28" s="308" customFormat="1" x14ac:dyDescent="0.2">
      <c r="M4010" s="309"/>
      <c r="AB4010" s="310"/>
    </row>
    <row r="4011" spans="13:28" s="308" customFormat="1" x14ac:dyDescent="0.2">
      <c r="M4011" s="309"/>
      <c r="AB4011" s="310"/>
    </row>
    <row r="4012" spans="13:28" s="308" customFormat="1" x14ac:dyDescent="0.2">
      <c r="M4012" s="309"/>
      <c r="AB4012" s="310"/>
    </row>
    <row r="4013" spans="13:28" s="308" customFormat="1" x14ac:dyDescent="0.2">
      <c r="M4013" s="309"/>
      <c r="AB4013" s="310"/>
    </row>
    <row r="4014" spans="13:28" s="308" customFormat="1" x14ac:dyDescent="0.2">
      <c r="M4014" s="309"/>
      <c r="AB4014" s="310"/>
    </row>
    <row r="4015" spans="13:28" s="308" customFormat="1" x14ac:dyDescent="0.2">
      <c r="M4015" s="309"/>
      <c r="AB4015" s="310"/>
    </row>
    <row r="4016" spans="13:28" s="308" customFormat="1" x14ac:dyDescent="0.2">
      <c r="M4016" s="309"/>
      <c r="AB4016" s="310"/>
    </row>
    <row r="4017" spans="13:28" s="308" customFormat="1" x14ac:dyDescent="0.2">
      <c r="M4017" s="309"/>
      <c r="AB4017" s="310"/>
    </row>
    <row r="4018" spans="13:28" s="308" customFormat="1" x14ac:dyDescent="0.2">
      <c r="M4018" s="309"/>
      <c r="AB4018" s="310"/>
    </row>
    <row r="4019" spans="13:28" s="308" customFormat="1" x14ac:dyDescent="0.2">
      <c r="M4019" s="309"/>
      <c r="AB4019" s="310"/>
    </row>
    <row r="4020" spans="13:28" s="308" customFormat="1" x14ac:dyDescent="0.2">
      <c r="M4020" s="309"/>
      <c r="AB4020" s="310"/>
    </row>
    <row r="4021" spans="13:28" s="308" customFormat="1" x14ac:dyDescent="0.2">
      <c r="M4021" s="309"/>
      <c r="AB4021" s="310"/>
    </row>
    <row r="4022" spans="13:28" s="308" customFormat="1" x14ac:dyDescent="0.2">
      <c r="M4022" s="309"/>
      <c r="AB4022" s="310"/>
    </row>
    <row r="4023" spans="13:28" s="308" customFormat="1" x14ac:dyDescent="0.2">
      <c r="M4023" s="309"/>
      <c r="AB4023" s="310"/>
    </row>
    <row r="4024" spans="13:28" s="308" customFormat="1" x14ac:dyDescent="0.2">
      <c r="M4024" s="309"/>
      <c r="AB4024" s="310"/>
    </row>
    <row r="4025" spans="13:28" s="308" customFormat="1" x14ac:dyDescent="0.2">
      <c r="M4025" s="309"/>
      <c r="AB4025" s="310"/>
    </row>
    <row r="4026" spans="13:28" s="308" customFormat="1" x14ac:dyDescent="0.2">
      <c r="M4026" s="309"/>
      <c r="AB4026" s="310"/>
    </row>
    <row r="4027" spans="13:28" s="308" customFormat="1" x14ac:dyDescent="0.2">
      <c r="M4027" s="309"/>
      <c r="AB4027" s="310"/>
    </row>
    <row r="4028" spans="13:28" s="308" customFormat="1" x14ac:dyDescent="0.2">
      <c r="M4028" s="309"/>
      <c r="AB4028" s="310"/>
    </row>
    <row r="4029" spans="13:28" s="308" customFormat="1" x14ac:dyDescent="0.2">
      <c r="M4029" s="309"/>
      <c r="AB4029" s="310"/>
    </row>
    <row r="4030" spans="13:28" s="308" customFormat="1" x14ac:dyDescent="0.2">
      <c r="M4030" s="309"/>
      <c r="AB4030" s="310"/>
    </row>
    <row r="4031" spans="13:28" s="308" customFormat="1" x14ac:dyDescent="0.2">
      <c r="M4031" s="309"/>
      <c r="AB4031" s="310"/>
    </row>
    <row r="4032" spans="13:28" s="308" customFormat="1" x14ac:dyDescent="0.2">
      <c r="M4032" s="309"/>
      <c r="AB4032" s="310"/>
    </row>
    <row r="4033" spans="13:28" s="308" customFormat="1" x14ac:dyDescent="0.2">
      <c r="M4033" s="309"/>
      <c r="AB4033" s="310"/>
    </row>
    <row r="4034" spans="13:28" s="308" customFormat="1" x14ac:dyDescent="0.2">
      <c r="M4034" s="309"/>
      <c r="AB4034" s="310"/>
    </row>
    <row r="4035" spans="13:28" s="308" customFormat="1" x14ac:dyDescent="0.2">
      <c r="M4035" s="309"/>
      <c r="AB4035" s="310"/>
    </row>
    <row r="4036" spans="13:28" s="308" customFormat="1" x14ac:dyDescent="0.2">
      <c r="M4036" s="309"/>
      <c r="AB4036" s="310"/>
    </row>
    <row r="4037" spans="13:28" s="308" customFormat="1" x14ac:dyDescent="0.2">
      <c r="M4037" s="309"/>
      <c r="AB4037" s="310"/>
    </row>
    <row r="4038" spans="13:28" s="308" customFormat="1" x14ac:dyDescent="0.2">
      <c r="M4038" s="309"/>
      <c r="AB4038" s="310"/>
    </row>
    <row r="4039" spans="13:28" s="308" customFormat="1" x14ac:dyDescent="0.2">
      <c r="M4039" s="309"/>
      <c r="AB4039" s="310"/>
    </row>
    <row r="4040" spans="13:28" s="308" customFormat="1" x14ac:dyDescent="0.2">
      <c r="M4040" s="309"/>
      <c r="AB4040" s="310"/>
    </row>
    <row r="4041" spans="13:28" s="308" customFormat="1" x14ac:dyDescent="0.2">
      <c r="M4041" s="309"/>
      <c r="AB4041" s="310"/>
    </row>
    <row r="4042" spans="13:28" s="308" customFormat="1" x14ac:dyDescent="0.2">
      <c r="M4042" s="309"/>
      <c r="AB4042" s="310"/>
    </row>
    <row r="4043" spans="13:28" s="308" customFormat="1" x14ac:dyDescent="0.2">
      <c r="M4043" s="309"/>
      <c r="AB4043" s="310"/>
    </row>
    <row r="4044" spans="13:28" s="308" customFormat="1" x14ac:dyDescent="0.2">
      <c r="M4044" s="309"/>
      <c r="AB4044" s="310"/>
    </row>
    <row r="4045" spans="13:28" s="308" customFormat="1" x14ac:dyDescent="0.2">
      <c r="M4045" s="309"/>
      <c r="AB4045" s="310"/>
    </row>
    <row r="4046" spans="13:28" s="308" customFormat="1" x14ac:dyDescent="0.2">
      <c r="M4046" s="309"/>
      <c r="AB4046" s="310"/>
    </row>
    <row r="4047" spans="13:28" s="308" customFormat="1" x14ac:dyDescent="0.2">
      <c r="M4047" s="309"/>
      <c r="AB4047" s="310"/>
    </row>
    <row r="4048" spans="13:28" s="308" customFormat="1" x14ac:dyDescent="0.2">
      <c r="M4048" s="309"/>
      <c r="AB4048" s="310"/>
    </row>
    <row r="4049" spans="13:28" s="308" customFormat="1" x14ac:dyDescent="0.2">
      <c r="M4049" s="309"/>
      <c r="AB4049" s="310"/>
    </row>
    <row r="4050" spans="13:28" s="308" customFormat="1" x14ac:dyDescent="0.2">
      <c r="M4050" s="309"/>
      <c r="AB4050" s="310"/>
    </row>
    <row r="4051" spans="13:28" s="308" customFormat="1" x14ac:dyDescent="0.2">
      <c r="M4051" s="309"/>
      <c r="AB4051" s="310"/>
    </row>
    <row r="4052" spans="13:28" s="308" customFormat="1" x14ac:dyDescent="0.2">
      <c r="M4052" s="309"/>
      <c r="AB4052" s="310"/>
    </row>
    <row r="4053" spans="13:28" s="308" customFormat="1" x14ac:dyDescent="0.2">
      <c r="M4053" s="309"/>
      <c r="AB4053" s="310"/>
    </row>
    <row r="4054" spans="13:28" s="308" customFormat="1" x14ac:dyDescent="0.2">
      <c r="M4054" s="309"/>
      <c r="AB4054" s="310"/>
    </row>
    <row r="4055" spans="13:28" s="308" customFormat="1" x14ac:dyDescent="0.2">
      <c r="M4055" s="309"/>
      <c r="AB4055" s="310"/>
    </row>
    <row r="4056" spans="13:28" s="308" customFormat="1" x14ac:dyDescent="0.2">
      <c r="M4056" s="309"/>
      <c r="AB4056" s="310"/>
    </row>
    <row r="4057" spans="13:28" s="308" customFormat="1" x14ac:dyDescent="0.2">
      <c r="M4057" s="309"/>
      <c r="AB4057" s="310"/>
    </row>
    <row r="4058" spans="13:28" s="308" customFormat="1" x14ac:dyDescent="0.2">
      <c r="M4058" s="309"/>
      <c r="AB4058" s="310"/>
    </row>
    <row r="4059" spans="13:28" s="308" customFormat="1" x14ac:dyDescent="0.2">
      <c r="M4059" s="309"/>
      <c r="AB4059" s="310"/>
    </row>
    <row r="4060" spans="13:28" s="308" customFormat="1" x14ac:dyDescent="0.2">
      <c r="M4060" s="309"/>
      <c r="AB4060" s="310"/>
    </row>
    <row r="4061" spans="13:28" s="308" customFormat="1" x14ac:dyDescent="0.2">
      <c r="M4061" s="309"/>
      <c r="AB4061" s="310"/>
    </row>
    <row r="4062" spans="13:28" s="308" customFormat="1" x14ac:dyDescent="0.2">
      <c r="M4062" s="309"/>
      <c r="AB4062" s="310"/>
    </row>
    <row r="4063" spans="13:28" s="308" customFormat="1" x14ac:dyDescent="0.2">
      <c r="M4063" s="309"/>
      <c r="AB4063" s="310"/>
    </row>
    <row r="4064" spans="13:28" s="308" customFormat="1" x14ac:dyDescent="0.2">
      <c r="M4064" s="309"/>
      <c r="AB4064" s="310"/>
    </row>
    <row r="4065" spans="13:28" s="308" customFormat="1" x14ac:dyDescent="0.2">
      <c r="M4065" s="309"/>
      <c r="AB4065" s="310"/>
    </row>
    <row r="4066" spans="13:28" s="308" customFormat="1" x14ac:dyDescent="0.2">
      <c r="M4066" s="309"/>
      <c r="AB4066" s="310"/>
    </row>
    <row r="4067" spans="13:28" s="308" customFormat="1" x14ac:dyDescent="0.2">
      <c r="M4067" s="309"/>
      <c r="AB4067" s="310"/>
    </row>
    <row r="4068" spans="13:28" s="308" customFormat="1" x14ac:dyDescent="0.2">
      <c r="M4068" s="309"/>
      <c r="AB4068" s="310"/>
    </row>
    <row r="4069" spans="13:28" s="308" customFormat="1" x14ac:dyDescent="0.2">
      <c r="M4069" s="309"/>
      <c r="AB4069" s="310"/>
    </row>
    <row r="4070" spans="13:28" s="308" customFormat="1" x14ac:dyDescent="0.2">
      <c r="M4070" s="309"/>
      <c r="AB4070" s="310"/>
    </row>
    <row r="4071" spans="13:28" s="308" customFormat="1" x14ac:dyDescent="0.2">
      <c r="M4071" s="309"/>
      <c r="AB4071" s="310"/>
    </row>
    <row r="4072" spans="13:28" s="308" customFormat="1" x14ac:dyDescent="0.2">
      <c r="M4072" s="309"/>
      <c r="AB4072" s="310"/>
    </row>
    <row r="4073" spans="13:28" s="308" customFormat="1" x14ac:dyDescent="0.2">
      <c r="M4073" s="309"/>
      <c r="AB4073" s="310"/>
    </row>
    <row r="4074" spans="13:28" s="308" customFormat="1" x14ac:dyDescent="0.2">
      <c r="M4074" s="309"/>
      <c r="AB4074" s="310"/>
    </row>
    <row r="4075" spans="13:28" s="308" customFormat="1" x14ac:dyDescent="0.2">
      <c r="M4075" s="309"/>
      <c r="AB4075" s="310"/>
    </row>
    <row r="4076" spans="13:28" s="308" customFormat="1" x14ac:dyDescent="0.2">
      <c r="M4076" s="309"/>
      <c r="AB4076" s="310"/>
    </row>
    <row r="4077" spans="13:28" s="308" customFormat="1" x14ac:dyDescent="0.2">
      <c r="M4077" s="309"/>
      <c r="AB4077" s="310"/>
    </row>
    <row r="4078" spans="13:28" s="308" customFormat="1" x14ac:dyDescent="0.2">
      <c r="M4078" s="309"/>
      <c r="AB4078" s="310"/>
    </row>
    <row r="4079" spans="13:28" s="308" customFormat="1" x14ac:dyDescent="0.2">
      <c r="M4079" s="309"/>
      <c r="AB4079" s="310"/>
    </row>
    <row r="4080" spans="13:28" s="308" customFormat="1" x14ac:dyDescent="0.2">
      <c r="M4080" s="309"/>
      <c r="AB4080" s="310"/>
    </row>
    <row r="4081" spans="13:28" s="308" customFormat="1" x14ac:dyDescent="0.2">
      <c r="M4081" s="309"/>
      <c r="AB4081" s="310"/>
    </row>
    <row r="4082" spans="13:28" s="308" customFormat="1" x14ac:dyDescent="0.2">
      <c r="M4082" s="309"/>
      <c r="AB4082" s="310"/>
    </row>
    <row r="4083" spans="13:28" s="308" customFormat="1" x14ac:dyDescent="0.2">
      <c r="M4083" s="309"/>
      <c r="AB4083" s="310"/>
    </row>
    <row r="4084" spans="13:28" s="308" customFormat="1" x14ac:dyDescent="0.2">
      <c r="M4084" s="309"/>
      <c r="AB4084" s="310"/>
    </row>
    <row r="4085" spans="13:28" s="308" customFormat="1" x14ac:dyDescent="0.2">
      <c r="M4085" s="309"/>
      <c r="AB4085" s="310"/>
    </row>
    <row r="4086" spans="13:28" s="308" customFormat="1" x14ac:dyDescent="0.2">
      <c r="M4086" s="309"/>
      <c r="AB4086" s="310"/>
    </row>
    <row r="4087" spans="13:28" s="308" customFormat="1" x14ac:dyDescent="0.2">
      <c r="M4087" s="309"/>
      <c r="AB4087" s="310"/>
    </row>
    <row r="4088" spans="13:28" s="308" customFormat="1" x14ac:dyDescent="0.2">
      <c r="M4088" s="309"/>
      <c r="AB4088" s="310"/>
    </row>
    <row r="4089" spans="13:28" s="308" customFormat="1" x14ac:dyDescent="0.2">
      <c r="M4089" s="309"/>
      <c r="AB4089" s="310"/>
    </row>
    <row r="4090" spans="13:28" s="308" customFormat="1" x14ac:dyDescent="0.2">
      <c r="M4090" s="309"/>
      <c r="AB4090" s="310"/>
    </row>
    <row r="4091" spans="13:28" s="308" customFormat="1" x14ac:dyDescent="0.2">
      <c r="M4091" s="309"/>
      <c r="AB4091" s="310"/>
    </row>
    <row r="4092" spans="13:28" s="308" customFormat="1" x14ac:dyDescent="0.2">
      <c r="M4092" s="309"/>
      <c r="AB4092" s="310"/>
    </row>
    <row r="4093" spans="13:28" s="308" customFormat="1" x14ac:dyDescent="0.2">
      <c r="M4093" s="309"/>
      <c r="AB4093" s="310"/>
    </row>
    <row r="4094" spans="13:28" s="308" customFormat="1" x14ac:dyDescent="0.2">
      <c r="M4094" s="309"/>
      <c r="AB4094" s="310"/>
    </row>
    <row r="4095" spans="13:28" s="308" customFormat="1" x14ac:dyDescent="0.2">
      <c r="M4095" s="309"/>
      <c r="AB4095" s="310"/>
    </row>
    <row r="4096" spans="13:28" s="308" customFormat="1" x14ac:dyDescent="0.2">
      <c r="M4096" s="309"/>
      <c r="AB4096" s="310"/>
    </row>
    <row r="4097" spans="13:28" s="308" customFormat="1" x14ac:dyDescent="0.2">
      <c r="M4097" s="309"/>
      <c r="AB4097" s="310"/>
    </row>
    <row r="4098" spans="13:28" s="308" customFormat="1" x14ac:dyDescent="0.2">
      <c r="M4098" s="309"/>
      <c r="AB4098" s="310"/>
    </row>
    <row r="4099" spans="13:28" s="308" customFormat="1" x14ac:dyDescent="0.2">
      <c r="M4099" s="309"/>
      <c r="AB4099" s="310"/>
    </row>
    <row r="4100" spans="13:28" s="308" customFormat="1" x14ac:dyDescent="0.2">
      <c r="M4100" s="309"/>
      <c r="AB4100" s="310"/>
    </row>
    <row r="4101" spans="13:28" s="308" customFormat="1" x14ac:dyDescent="0.2">
      <c r="M4101" s="309"/>
      <c r="AB4101" s="310"/>
    </row>
    <row r="4102" spans="13:28" s="308" customFormat="1" x14ac:dyDescent="0.2">
      <c r="M4102" s="309"/>
      <c r="AB4102" s="310"/>
    </row>
    <row r="4103" spans="13:28" s="308" customFormat="1" x14ac:dyDescent="0.2">
      <c r="M4103" s="309"/>
      <c r="AB4103" s="310"/>
    </row>
    <row r="4104" spans="13:28" s="308" customFormat="1" x14ac:dyDescent="0.2">
      <c r="M4104" s="309"/>
      <c r="AB4104" s="310"/>
    </row>
    <row r="4105" spans="13:28" s="308" customFormat="1" x14ac:dyDescent="0.2">
      <c r="M4105" s="309"/>
      <c r="AB4105" s="310"/>
    </row>
    <row r="4106" spans="13:28" s="308" customFormat="1" x14ac:dyDescent="0.2">
      <c r="M4106" s="309"/>
      <c r="AB4106" s="310"/>
    </row>
    <row r="4107" spans="13:28" s="308" customFormat="1" x14ac:dyDescent="0.2">
      <c r="M4107" s="309"/>
      <c r="AB4107" s="310"/>
    </row>
    <row r="4108" spans="13:28" s="308" customFormat="1" x14ac:dyDescent="0.2">
      <c r="M4108" s="309"/>
      <c r="AB4108" s="310"/>
    </row>
    <row r="4109" spans="13:28" s="308" customFormat="1" x14ac:dyDescent="0.2">
      <c r="M4109" s="309"/>
      <c r="AB4109" s="310"/>
    </row>
    <row r="4110" spans="13:28" s="308" customFormat="1" x14ac:dyDescent="0.2">
      <c r="M4110" s="309"/>
      <c r="AB4110" s="310"/>
    </row>
    <row r="4111" spans="13:28" s="308" customFormat="1" x14ac:dyDescent="0.2">
      <c r="M4111" s="309"/>
      <c r="AB4111" s="310"/>
    </row>
    <row r="4112" spans="13:28" s="308" customFormat="1" x14ac:dyDescent="0.2">
      <c r="M4112" s="309"/>
      <c r="AB4112" s="310"/>
    </row>
    <row r="4113" spans="13:28" s="308" customFormat="1" x14ac:dyDescent="0.2">
      <c r="M4113" s="309"/>
      <c r="AB4113" s="310"/>
    </row>
    <row r="4114" spans="13:28" s="308" customFormat="1" x14ac:dyDescent="0.2">
      <c r="M4114" s="309"/>
      <c r="AB4114" s="310"/>
    </row>
    <row r="4115" spans="13:28" s="308" customFormat="1" x14ac:dyDescent="0.2">
      <c r="M4115" s="309"/>
      <c r="AB4115" s="310"/>
    </row>
    <row r="4116" spans="13:28" s="308" customFormat="1" x14ac:dyDescent="0.2">
      <c r="M4116" s="309"/>
      <c r="AB4116" s="310"/>
    </row>
    <row r="4117" spans="13:28" s="308" customFormat="1" x14ac:dyDescent="0.2">
      <c r="M4117" s="309"/>
      <c r="AB4117" s="310"/>
    </row>
    <row r="4118" spans="13:28" s="308" customFormat="1" x14ac:dyDescent="0.2">
      <c r="M4118" s="309"/>
      <c r="AB4118" s="310"/>
    </row>
    <row r="4119" spans="13:28" s="308" customFormat="1" x14ac:dyDescent="0.2">
      <c r="M4119" s="309"/>
      <c r="AB4119" s="310"/>
    </row>
    <row r="4120" spans="13:28" s="308" customFormat="1" x14ac:dyDescent="0.2">
      <c r="M4120" s="309"/>
      <c r="AB4120" s="310"/>
    </row>
    <row r="4121" spans="13:28" s="308" customFormat="1" x14ac:dyDescent="0.2">
      <c r="M4121" s="309"/>
      <c r="AB4121" s="310"/>
    </row>
    <row r="4122" spans="13:28" s="308" customFormat="1" x14ac:dyDescent="0.2">
      <c r="M4122" s="309"/>
      <c r="AB4122" s="310"/>
    </row>
    <row r="4123" spans="13:28" s="308" customFormat="1" x14ac:dyDescent="0.2">
      <c r="M4123" s="309"/>
      <c r="AB4123" s="310"/>
    </row>
    <row r="4124" spans="13:28" s="308" customFormat="1" x14ac:dyDescent="0.2">
      <c r="M4124" s="309"/>
      <c r="AB4124" s="310"/>
    </row>
    <row r="4125" spans="13:28" s="308" customFormat="1" x14ac:dyDescent="0.2">
      <c r="M4125" s="309"/>
      <c r="AB4125" s="310"/>
    </row>
    <row r="4126" spans="13:28" s="308" customFormat="1" x14ac:dyDescent="0.2">
      <c r="M4126" s="309"/>
      <c r="AB4126" s="310"/>
    </row>
    <row r="4127" spans="13:28" s="308" customFormat="1" x14ac:dyDescent="0.2">
      <c r="M4127" s="309"/>
      <c r="AB4127" s="310"/>
    </row>
    <row r="4128" spans="13:28" s="308" customFormat="1" x14ac:dyDescent="0.2">
      <c r="M4128" s="309"/>
      <c r="AB4128" s="310"/>
    </row>
    <row r="4129" spans="13:28" s="308" customFormat="1" x14ac:dyDescent="0.2">
      <c r="M4129" s="309"/>
      <c r="AB4129" s="310"/>
    </row>
    <row r="4130" spans="13:28" s="308" customFormat="1" x14ac:dyDescent="0.2">
      <c r="M4130" s="309"/>
      <c r="AB4130" s="310"/>
    </row>
    <row r="4131" spans="13:28" s="308" customFormat="1" x14ac:dyDescent="0.2">
      <c r="M4131" s="309"/>
      <c r="AB4131" s="310"/>
    </row>
    <row r="4132" spans="13:28" s="308" customFormat="1" x14ac:dyDescent="0.2">
      <c r="M4132" s="309"/>
      <c r="AB4132" s="310"/>
    </row>
    <row r="4133" spans="13:28" s="308" customFormat="1" x14ac:dyDescent="0.2">
      <c r="M4133" s="309"/>
      <c r="AB4133" s="310"/>
    </row>
    <row r="4134" spans="13:28" s="308" customFormat="1" x14ac:dyDescent="0.2">
      <c r="M4134" s="309"/>
      <c r="AB4134" s="310"/>
    </row>
    <row r="4135" spans="13:28" s="308" customFormat="1" x14ac:dyDescent="0.2">
      <c r="M4135" s="309"/>
      <c r="AB4135" s="310"/>
    </row>
    <row r="4136" spans="13:28" s="308" customFormat="1" x14ac:dyDescent="0.2">
      <c r="M4136" s="309"/>
      <c r="AB4136" s="310"/>
    </row>
    <row r="4137" spans="13:28" s="308" customFormat="1" x14ac:dyDescent="0.2">
      <c r="M4137" s="309"/>
      <c r="AB4137" s="310"/>
    </row>
    <row r="4138" spans="13:28" s="308" customFormat="1" x14ac:dyDescent="0.2">
      <c r="M4138" s="309"/>
      <c r="AB4138" s="310"/>
    </row>
    <row r="4139" spans="13:28" s="308" customFormat="1" x14ac:dyDescent="0.2">
      <c r="M4139" s="309"/>
      <c r="AB4139" s="310"/>
    </row>
    <row r="4140" spans="13:28" s="308" customFormat="1" x14ac:dyDescent="0.2">
      <c r="M4140" s="309"/>
      <c r="AB4140" s="310"/>
    </row>
    <row r="4141" spans="13:28" s="308" customFormat="1" x14ac:dyDescent="0.2">
      <c r="M4141" s="309"/>
      <c r="AB4141" s="310"/>
    </row>
    <row r="4142" spans="13:28" s="308" customFormat="1" x14ac:dyDescent="0.2">
      <c r="M4142" s="309"/>
      <c r="AB4142" s="310"/>
    </row>
    <row r="4143" spans="13:28" s="308" customFormat="1" x14ac:dyDescent="0.2">
      <c r="M4143" s="309"/>
      <c r="AB4143" s="310"/>
    </row>
    <row r="4144" spans="13:28" s="308" customFormat="1" x14ac:dyDescent="0.2">
      <c r="M4144" s="309"/>
      <c r="AB4144" s="310"/>
    </row>
    <row r="4145" spans="13:28" s="308" customFormat="1" x14ac:dyDescent="0.2">
      <c r="M4145" s="309"/>
      <c r="AB4145" s="310"/>
    </row>
    <row r="4146" spans="13:28" s="308" customFormat="1" x14ac:dyDescent="0.2">
      <c r="M4146" s="309"/>
      <c r="AB4146" s="310"/>
    </row>
    <row r="4147" spans="13:28" s="308" customFormat="1" x14ac:dyDescent="0.2">
      <c r="M4147" s="309"/>
      <c r="AB4147" s="310"/>
    </row>
    <row r="4148" spans="13:28" s="308" customFormat="1" x14ac:dyDescent="0.2">
      <c r="M4148" s="309"/>
      <c r="AB4148" s="310"/>
    </row>
    <row r="4149" spans="13:28" s="308" customFormat="1" x14ac:dyDescent="0.2">
      <c r="M4149" s="309"/>
      <c r="AB4149" s="310"/>
    </row>
    <row r="4150" spans="13:28" s="308" customFormat="1" x14ac:dyDescent="0.2">
      <c r="M4150" s="309"/>
      <c r="AB4150" s="310"/>
    </row>
    <row r="4151" spans="13:28" s="308" customFormat="1" x14ac:dyDescent="0.2">
      <c r="M4151" s="309"/>
      <c r="AB4151" s="310"/>
    </row>
    <row r="4152" spans="13:28" s="308" customFormat="1" x14ac:dyDescent="0.2">
      <c r="M4152" s="309"/>
      <c r="AB4152" s="310"/>
    </row>
    <row r="4153" spans="13:28" s="308" customFormat="1" x14ac:dyDescent="0.2">
      <c r="M4153" s="309"/>
      <c r="AB4153" s="310"/>
    </row>
    <row r="4154" spans="13:28" s="308" customFormat="1" x14ac:dyDescent="0.2">
      <c r="M4154" s="309"/>
      <c r="AB4154" s="310"/>
    </row>
    <row r="4155" spans="13:28" s="308" customFormat="1" x14ac:dyDescent="0.2">
      <c r="M4155" s="309"/>
      <c r="AB4155" s="310"/>
    </row>
    <row r="4156" spans="13:28" s="308" customFormat="1" x14ac:dyDescent="0.2">
      <c r="M4156" s="309"/>
      <c r="AB4156" s="310"/>
    </row>
    <row r="4157" spans="13:28" s="308" customFormat="1" x14ac:dyDescent="0.2">
      <c r="M4157" s="309"/>
      <c r="AB4157" s="310"/>
    </row>
    <row r="4158" spans="13:28" s="308" customFormat="1" x14ac:dyDescent="0.2">
      <c r="M4158" s="309"/>
      <c r="AB4158" s="310"/>
    </row>
    <row r="4159" spans="13:28" s="308" customFormat="1" x14ac:dyDescent="0.2">
      <c r="M4159" s="309"/>
      <c r="AB4159" s="310"/>
    </row>
    <row r="4160" spans="13:28" s="308" customFormat="1" x14ac:dyDescent="0.2">
      <c r="M4160" s="309"/>
      <c r="AB4160" s="310"/>
    </row>
    <row r="4161" spans="13:28" s="308" customFormat="1" x14ac:dyDescent="0.2">
      <c r="M4161" s="309"/>
      <c r="AB4161" s="310"/>
    </row>
    <row r="4162" spans="13:28" s="308" customFormat="1" x14ac:dyDescent="0.2">
      <c r="M4162" s="309"/>
      <c r="AB4162" s="310"/>
    </row>
    <row r="4163" spans="13:28" s="308" customFormat="1" x14ac:dyDescent="0.2">
      <c r="M4163" s="309"/>
      <c r="AB4163" s="310"/>
    </row>
    <row r="4164" spans="13:28" s="308" customFormat="1" x14ac:dyDescent="0.2">
      <c r="M4164" s="309"/>
      <c r="AB4164" s="310"/>
    </row>
    <row r="4165" spans="13:28" s="308" customFormat="1" x14ac:dyDescent="0.2">
      <c r="M4165" s="309"/>
      <c r="AB4165" s="310"/>
    </row>
    <row r="4166" spans="13:28" s="308" customFormat="1" x14ac:dyDescent="0.2">
      <c r="M4166" s="309"/>
      <c r="AB4166" s="310"/>
    </row>
    <row r="4167" spans="13:28" s="308" customFormat="1" x14ac:dyDescent="0.2">
      <c r="M4167" s="309"/>
      <c r="AB4167" s="310"/>
    </row>
    <row r="4168" spans="13:28" s="308" customFormat="1" x14ac:dyDescent="0.2">
      <c r="M4168" s="309"/>
      <c r="AB4168" s="310"/>
    </row>
    <row r="4169" spans="13:28" s="308" customFormat="1" x14ac:dyDescent="0.2">
      <c r="M4169" s="309"/>
      <c r="AB4169" s="310"/>
    </row>
    <row r="4170" spans="13:28" s="308" customFormat="1" x14ac:dyDescent="0.2">
      <c r="M4170" s="309"/>
      <c r="AB4170" s="310"/>
    </row>
    <row r="4171" spans="13:28" s="308" customFormat="1" x14ac:dyDescent="0.2">
      <c r="M4171" s="309"/>
      <c r="AB4171" s="310"/>
    </row>
    <row r="4172" spans="13:28" s="308" customFormat="1" x14ac:dyDescent="0.2">
      <c r="M4172" s="309"/>
      <c r="AB4172" s="310"/>
    </row>
    <row r="4173" spans="13:28" s="308" customFormat="1" x14ac:dyDescent="0.2">
      <c r="M4173" s="309"/>
      <c r="AB4173" s="310"/>
    </row>
    <row r="4174" spans="13:28" s="308" customFormat="1" x14ac:dyDescent="0.2">
      <c r="M4174" s="309"/>
      <c r="AB4174" s="310"/>
    </row>
    <row r="4175" spans="13:28" s="308" customFormat="1" x14ac:dyDescent="0.2">
      <c r="M4175" s="309"/>
      <c r="AB4175" s="310"/>
    </row>
    <row r="4176" spans="13:28" s="308" customFormat="1" x14ac:dyDescent="0.2">
      <c r="M4176" s="309"/>
      <c r="AB4176" s="310"/>
    </row>
    <row r="4177" spans="13:28" s="308" customFormat="1" x14ac:dyDescent="0.2">
      <c r="M4177" s="309"/>
      <c r="AB4177" s="310"/>
    </row>
    <row r="4178" spans="13:28" s="308" customFormat="1" x14ac:dyDescent="0.2">
      <c r="M4178" s="309"/>
      <c r="AB4178" s="310"/>
    </row>
    <row r="4179" spans="13:28" s="308" customFormat="1" x14ac:dyDescent="0.2">
      <c r="M4179" s="309"/>
      <c r="AB4179" s="310"/>
    </row>
    <row r="4180" spans="13:28" s="308" customFormat="1" x14ac:dyDescent="0.2">
      <c r="M4180" s="309"/>
      <c r="AB4180" s="310"/>
    </row>
    <row r="4181" spans="13:28" s="308" customFormat="1" x14ac:dyDescent="0.2">
      <c r="M4181" s="309"/>
      <c r="AB4181" s="310"/>
    </row>
    <row r="4182" spans="13:28" s="308" customFormat="1" x14ac:dyDescent="0.2">
      <c r="M4182" s="309"/>
      <c r="AB4182" s="310"/>
    </row>
    <row r="4183" spans="13:28" s="308" customFormat="1" x14ac:dyDescent="0.2">
      <c r="M4183" s="309"/>
      <c r="AB4183" s="310"/>
    </row>
    <row r="4184" spans="13:28" s="308" customFormat="1" x14ac:dyDescent="0.2">
      <c r="M4184" s="309"/>
      <c r="AB4184" s="310"/>
    </row>
    <row r="4185" spans="13:28" s="308" customFormat="1" x14ac:dyDescent="0.2">
      <c r="M4185" s="309"/>
      <c r="AB4185" s="310"/>
    </row>
    <row r="4186" spans="13:28" s="308" customFormat="1" x14ac:dyDescent="0.2">
      <c r="M4186" s="309"/>
      <c r="AB4186" s="310"/>
    </row>
    <row r="4187" spans="13:28" s="308" customFormat="1" x14ac:dyDescent="0.2">
      <c r="M4187" s="309"/>
      <c r="AB4187" s="310"/>
    </row>
    <row r="4188" spans="13:28" s="308" customFormat="1" x14ac:dyDescent="0.2">
      <c r="M4188" s="309"/>
      <c r="AB4188" s="310"/>
    </row>
    <row r="4189" spans="13:28" s="308" customFormat="1" x14ac:dyDescent="0.2">
      <c r="M4189" s="309"/>
      <c r="AB4189" s="310"/>
    </row>
    <row r="4190" spans="13:28" s="308" customFormat="1" x14ac:dyDescent="0.2">
      <c r="M4190" s="309"/>
      <c r="AB4190" s="310"/>
    </row>
    <row r="4191" spans="13:28" s="308" customFormat="1" x14ac:dyDescent="0.2">
      <c r="M4191" s="309"/>
      <c r="AB4191" s="310"/>
    </row>
    <row r="4192" spans="13:28" s="308" customFormat="1" x14ac:dyDescent="0.2">
      <c r="M4192" s="309"/>
      <c r="AB4192" s="310"/>
    </row>
    <row r="4193" spans="13:28" s="308" customFormat="1" x14ac:dyDescent="0.2">
      <c r="M4193" s="309"/>
      <c r="AB4193" s="310"/>
    </row>
    <row r="4194" spans="13:28" s="308" customFormat="1" x14ac:dyDescent="0.2">
      <c r="M4194" s="309"/>
      <c r="AB4194" s="310"/>
    </row>
    <row r="4195" spans="13:28" s="308" customFormat="1" x14ac:dyDescent="0.2">
      <c r="M4195" s="309"/>
      <c r="AB4195" s="310"/>
    </row>
    <row r="4196" spans="13:28" s="308" customFormat="1" x14ac:dyDescent="0.2">
      <c r="M4196" s="309"/>
      <c r="AB4196" s="310"/>
    </row>
    <row r="4197" spans="13:28" s="308" customFormat="1" x14ac:dyDescent="0.2">
      <c r="M4197" s="309"/>
      <c r="AB4197" s="310"/>
    </row>
    <row r="4198" spans="13:28" s="308" customFormat="1" x14ac:dyDescent="0.2">
      <c r="M4198" s="309"/>
      <c r="AB4198" s="310"/>
    </row>
    <row r="4199" spans="13:28" s="308" customFormat="1" x14ac:dyDescent="0.2">
      <c r="M4199" s="309"/>
      <c r="AB4199" s="310"/>
    </row>
    <row r="4200" spans="13:28" s="308" customFormat="1" x14ac:dyDescent="0.2">
      <c r="M4200" s="309"/>
      <c r="AB4200" s="310"/>
    </row>
    <row r="4201" spans="13:28" s="308" customFormat="1" x14ac:dyDescent="0.2">
      <c r="M4201" s="309"/>
      <c r="AB4201" s="310"/>
    </row>
    <row r="4202" spans="13:28" s="308" customFormat="1" x14ac:dyDescent="0.2">
      <c r="M4202" s="309"/>
      <c r="AB4202" s="310"/>
    </row>
    <row r="4203" spans="13:28" s="308" customFormat="1" x14ac:dyDescent="0.2">
      <c r="M4203" s="309"/>
      <c r="AB4203" s="310"/>
    </row>
    <row r="4204" spans="13:28" s="308" customFormat="1" x14ac:dyDescent="0.2">
      <c r="M4204" s="309"/>
      <c r="AB4204" s="310"/>
    </row>
    <row r="4205" spans="13:28" s="308" customFormat="1" x14ac:dyDescent="0.2">
      <c r="M4205" s="309"/>
      <c r="AB4205" s="310"/>
    </row>
    <row r="4206" spans="13:28" s="308" customFormat="1" x14ac:dyDescent="0.2">
      <c r="M4206" s="309"/>
      <c r="AB4206" s="310"/>
    </row>
    <row r="4207" spans="13:28" s="308" customFormat="1" x14ac:dyDescent="0.2">
      <c r="M4207" s="309"/>
      <c r="AB4207" s="310"/>
    </row>
    <row r="4208" spans="13:28" s="308" customFormat="1" x14ac:dyDescent="0.2">
      <c r="M4208" s="309"/>
      <c r="AB4208" s="310"/>
    </row>
    <row r="4209" spans="13:28" s="308" customFormat="1" x14ac:dyDescent="0.2">
      <c r="M4209" s="309"/>
      <c r="AB4209" s="310"/>
    </row>
    <row r="4210" spans="13:28" s="308" customFormat="1" x14ac:dyDescent="0.2">
      <c r="M4210" s="309"/>
      <c r="AB4210" s="310"/>
    </row>
    <row r="4211" spans="13:28" s="308" customFormat="1" x14ac:dyDescent="0.2">
      <c r="M4211" s="309"/>
      <c r="AB4211" s="310"/>
    </row>
    <row r="4212" spans="13:28" s="308" customFormat="1" x14ac:dyDescent="0.2">
      <c r="M4212" s="309"/>
      <c r="AB4212" s="310"/>
    </row>
    <row r="4213" spans="13:28" s="308" customFormat="1" x14ac:dyDescent="0.2">
      <c r="M4213" s="309"/>
      <c r="AB4213" s="310"/>
    </row>
    <row r="4214" spans="13:28" s="308" customFormat="1" x14ac:dyDescent="0.2">
      <c r="M4214" s="309"/>
      <c r="AB4214" s="310"/>
    </row>
    <row r="4215" spans="13:28" s="308" customFormat="1" x14ac:dyDescent="0.2">
      <c r="M4215" s="309"/>
      <c r="AB4215" s="310"/>
    </row>
    <row r="4216" spans="13:28" s="308" customFormat="1" x14ac:dyDescent="0.2">
      <c r="M4216" s="309"/>
      <c r="AB4216" s="310"/>
    </row>
    <row r="4217" spans="13:28" s="308" customFormat="1" x14ac:dyDescent="0.2">
      <c r="M4217" s="309"/>
      <c r="AB4217" s="310"/>
    </row>
    <row r="4218" spans="13:28" s="308" customFormat="1" x14ac:dyDescent="0.2">
      <c r="M4218" s="309"/>
      <c r="AB4218" s="310"/>
    </row>
    <row r="4219" spans="13:28" s="308" customFormat="1" x14ac:dyDescent="0.2">
      <c r="M4219" s="309"/>
      <c r="AB4219" s="310"/>
    </row>
    <row r="4220" spans="13:28" s="308" customFormat="1" x14ac:dyDescent="0.2">
      <c r="M4220" s="309"/>
      <c r="AB4220" s="310"/>
    </row>
    <row r="4221" spans="13:28" s="308" customFormat="1" x14ac:dyDescent="0.2">
      <c r="M4221" s="309"/>
      <c r="AB4221" s="310"/>
    </row>
    <row r="4222" spans="13:28" s="308" customFormat="1" x14ac:dyDescent="0.2">
      <c r="M4222" s="309"/>
      <c r="AB4222" s="310"/>
    </row>
    <row r="4223" spans="13:28" s="308" customFormat="1" x14ac:dyDescent="0.2">
      <c r="M4223" s="309"/>
      <c r="AB4223" s="310"/>
    </row>
    <row r="4224" spans="13:28" s="308" customFormat="1" x14ac:dyDescent="0.2">
      <c r="M4224" s="309"/>
      <c r="AB4224" s="310"/>
    </row>
    <row r="4225" spans="13:28" s="308" customFormat="1" x14ac:dyDescent="0.2">
      <c r="M4225" s="309"/>
      <c r="AB4225" s="310"/>
    </row>
    <row r="4226" spans="13:28" s="308" customFormat="1" x14ac:dyDescent="0.2">
      <c r="M4226" s="309"/>
      <c r="AB4226" s="310"/>
    </row>
    <row r="4227" spans="13:28" s="308" customFormat="1" x14ac:dyDescent="0.2">
      <c r="M4227" s="309"/>
      <c r="AB4227" s="310"/>
    </row>
    <row r="4228" spans="13:28" s="308" customFormat="1" x14ac:dyDescent="0.2">
      <c r="M4228" s="309"/>
      <c r="AB4228" s="310"/>
    </row>
    <row r="4229" spans="13:28" s="308" customFormat="1" x14ac:dyDescent="0.2">
      <c r="M4229" s="309"/>
      <c r="AB4229" s="310"/>
    </row>
    <row r="4230" spans="13:28" s="308" customFormat="1" x14ac:dyDescent="0.2">
      <c r="M4230" s="309"/>
      <c r="AB4230" s="310"/>
    </row>
    <row r="4231" spans="13:28" s="308" customFormat="1" x14ac:dyDescent="0.2">
      <c r="M4231" s="309"/>
      <c r="AB4231" s="310"/>
    </row>
    <row r="4232" spans="13:28" s="308" customFormat="1" x14ac:dyDescent="0.2">
      <c r="M4232" s="309"/>
      <c r="AB4232" s="310"/>
    </row>
    <row r="4233" spans="13:28" s="308" customFormat="1" x14ac:dyDescent="0.2">
      <c r="M4233" s="309"/>
      <c r="AB4233" s="310"/>
    </row>
    <row r="4234" spans="13:28" s="308" customFormat="1" x14ac:dyDescent="0.2">
      <c r="M4234" s="309"/>
      <c r="AB4234" s="310"/>
    </row>
    <row r="4235" spans="13:28" s="308" customFormat="1" x14ac:dyDescent="0.2">
      <c r="M4235" s="309"/>
      <c r="AB4235" s="310"/>
    </row>
    <row r="4236" spans="13:28" s="308" customFormat="1" x14ac:dyDescent="0.2">
      <c r="M4236" s="309"/>
      <c r="AB4236" s="310"/>
    </row>
    <row r="4237" spans="13:28" s="308" customFormat="1" x14ac:dyDescent="0.2">
      <c r="M4237" s="309"/>
      <c r="AB4237" s="310"/>
    </row>
    <row r="4238" spans="13:28" s="308" customFormat="1" x14ac:dyDescent="0.2">
      <c r="M4238" s="309"/>
      <c r="AB4238" s="310"/>
    </row>
    <row r="4239" spans="13:28" s="308" customFormat="1" x14ac:dyDescent="0.2">
      <c r="M4239" s="309"/>
      <c r="AB4239" s="310"/>
    </row>
    <row r="4240" spans="13:28" s="308" customFormat="1" x14ac:dyDescent="0.2">
      <c r="M4240" s="309"/>
      <c r="AB4240" s="310"/>
    </row>
    <row r="4241" spans="13:28" s="308" customFormat="1" x14ac:dyDescent="0.2">
      <c r="M4241" s="309"/>
      <c r="AB4241" s="310"/>
    </row>
    <row r="4242" spans="13:28" s="308" customFormat="1" x14ac:dyDescent="0.2">
      <c r="M4242" s="309"/>
      <c r="AB4242" s="310"/>
    </row>
    <row r="4243" spans="13:28" s="308" customFormat="1" x14ac:dyDescent="0.2">
      <c r="M4243" s="309"/>
      <c r="AB4243" s="310"/>
    </row>
    <row r="4244" spans="13:28" s="308" customFormat="1" x14ac:dyDescent="0.2">
      <c r="M4244" s="309"/>
      <c r="AB4244" s="310"/>
    </row>
    <row r="4245" spans="13:28" s="308" customFormat="1" x14ac:dyDescent="0.2">
      <c r="M4245" s="309"/>
      <c r="AB4245" s="310"/>
    </row>
    <row r="4246" spans="13:28" s="308" customFormat="1" x14ac:dyDescent="0.2">
      <c r="M4246" s="309"/>
      <c r="AB4246" s="310"/>
    </row>
    <row r="4247" spans="13:28" s="308" customFormat="1" x14ac:dyDescent="0.2">
      <c r="M4247" s="309"/>
      <c r="AB4247" s="310"/>
    </row>
    <row r="4248" spans="13:28" s="308" customFormat="1" x14ac:dyDescent="0.2">
      <c r="M4248" s="309"/>
      <c r="AB4248" s="310"/>
    </row>
    <row r="4249" spans="13:28" s="308" customFormat="1" x14ac:dyDescent="0.2">
      <c r="M4249" s="309"/>
      <c r="AB4249" s="310"/>
    </row>
    <row r="4250" spans="13:28" s="308" customFormat="1" x14ac:dyDescent="0.2">
      <c r="M4250" s="309"/>
      <c r="AB4250" s="310"/>
    </row>
    <row r="4251" spans="13:28" s="308" customFormat="1" x14ac:dyDescent="0.2">
      <c r="M4251" s="309"/>
      <c r="AB4251" s="310"/>
    </row>
    <row r="4252" spans="13:28" s="308" customFormat="1" x14ac:dyDescent="0.2">
      <c r="M4252" s="309"/>
      <c r="AB4252" s="310"/>
    </row>
    <row r="4253" spans="13:28" s="308" customFormat="1" x14ac:dyDescent="0.2">
      <c r="M4253" s="309"/>
      <c r="AB4253" s="310"/>
    </row>
    <row r="4254" spans="13:28" s="308" customFormat="1" x14ac:dyDescent="0.2">
      <c r="M4254" s="309"/>
      <c r="AB4254" s="310"/>
    </row>
    <row r="4255" spans="13:28" s="308" customFormat="1" x14ac:dyDescent="0.2">
      <c r="M4255" s="309"/>
      <c r="AB4255" s="310"/>
    </row>
    <row r="4256" spans="13:28" s="308" customFormat="1" x14ac:dyDescent="0.2">
      <c r="M4256" s="309"/>
      <c r="AB4256" s="310"/>
    </row>
    <row r="4257" spans="13:28" s="308" customFormat="1" x14ac:dyDescent="0.2">
      <c r="M4257" s="309"/>
      <c r="AB4257" s="310"/>
    </row>
    <row r="4258" spans="13:28" s="308" customFormat="1" x14ac:dyDescent="0.2">
      <c r="M4258" s="309"/>
      <c r="AB4258" s="310"/>
    </row>
    <row r="4259" spans="13:28" s="308" customFormat="1" x14ac:dyDescent="0.2">
      <c r="M4259" s="309"/>
      <c r="AB4259" s="310"/>
    </row>
    <row r="4260" spans="13:28" s="308" customFormat="1" x14ac:dyDescent="0.2">
      <c r="M4260" s="309"/>
      <c r="AB4260" s="310"/>
    </row>
    <row r="4261" spans="13:28" s="308" customFormat="1" x14ac:dyDescent="0.2">
      <c r="M4261" s="309"/>
      <c r="AB4261" s="310"/>
    </row>
    <row r="4262" spans="13:28" s="308" customFormat="1" x14ac:dyDescent="0.2">
      <c r="M4262" s="309"/>
      <c r="AB4262" s="310"/>
    </row>
    <row r="4263" spans="13:28" s="308" customFormat="1" x14ac:dyDescent="0.2">
      <c r="M4263" s="309"/>
      <c r="AB4263" s="310"/>
    </row>
    <row r="4264" spans="13:28" s="308" customFormat="1" x14ac:dyDescent="0.2">
      <c r="M4264" s="309"/>
      <c r="AB4264" s="310"/>
    </row>
    <row r="4265" spans="13:28" s="308" customFormat="1" x14ac:dyDescent="0.2">
      <c r="M4265" s="309"/>
      <c r="AB4265" s="310"/>
    </row>
    <row r="4266" spans="13:28" s="308" customFormat="1" x14ac:dyDescent="0.2">
      <c r="M4266" s="309"/>
      <c r="AB4266" s="310"/>
    </row>
    <row r="4267" spans="13:28" s="308" customFormat="1" x14ac:dyDescent="0.2">
      <c r="M4267" s="309"/>
      <c r="AB4267" s="310"/>
    </row>
    <row r="4268" spans="13:28" s="308" customFormat="1" x14ac:dyDescent="0.2">
      <c r="M4268" s="309"/>
      <c r="AB4268" s="310"/>
    </row>
    <row r="4269" spans="13:28" s="308" customFormat="1" x14ac:dyDescent="0.2">
      <c r="M4269" s="309"/>
      <c r="AB4269" s="310"/>
    </row>
    <row r="4270" spans="13:28" s="308" customFormat="1" x14ac:dyDescent="0.2">
      <c r="M4270" s="309"/>
      <c r="AB4270" s="310"/>
    </row>
    <row r="4271" spans="13:28" s="308" customFormat="1" x14ac:dyDescent="0.2">
      <c r="M4271" s="309"/>
      <c r="AB4271" s="310"/>
    </row>
    <row r="4272" spans="13:28" s="308" customFormat="1" x14ac:dyDescent="0.2">
      <c r="M4272" s="309"/>
      <c r="AB4272" s="310"/>
    </row>
    <row r="4273" spans="13:28" s="308" customFormat="1" x14ac:dyDescent="0.2">
      <c r="M4273" s="309"/>
      <c r="AB4273" s="310"/>
    </row>
    <row r="4274" spans="13:28" s="308" customFormat="1" x14ac:dyDescent="0.2">
      <c r="M4274" s="309"/>
      <c r="AB4274" s="310"/>
    </row>
    <row r="4275" spans="13:28" s="308" customFormat="1" x14ac:dyDescent="0.2">
      <c r="M4275" s="309"/>
      <c r="AB4275" s="310"/>
    </row>
    <row r="4276" spans="13:28" s="308" customFormat="1" x14ac:dyDescent="0.2">
      <c r="M4276" s="309"/>
      <c r="AB4276" s="310"/>
    </row>
    <row r="4277" spans="13:28" s="308" customFormat="1" x14ac:dyDescent="0.2">
      <c r="M4277" s="309"/>
      <c r="AB4277" s="310"/>
    </row>
    <row r="4278" spans="13:28" s="308" customFormat="1" x14ac:dyDescent="0.2">
      <c r="M4278" s="309"/>
      <c r="AB4278" s="310"/>
    </row>
    <row r="4279" spans="13:28" s="308" customFormat="1" x14ac:dyDescent="0.2">
      <c r="M4279" s="309"/>
      <c r="AB4279" s="310"/>
    </row>
    <row r="4280" spans="13:28" s="308" customFormat="1" x14ac:dyDescent="0.2">
      <c r="M4280" s="309"/>
      <c r="AB4280" s="310"/>
    </row>
    <row r="4281" spans="13:28" s="308" customFormat="1" x14ac:dyDescent="0.2">
      <c r="M4281" s="309"/>
      <c r="AB4281" s="310"/>
    </row>
    <row r="4282" spans="13:28" s="308" customFormat="1" x14ac:dyDescent="0.2">
      <c r="M4282" s="309"/>
      <c r="AB4282" s="310"/>
    </row>
    <row r="4283" spans="13:28" s="308" customFormat="1" x14ac:dyDescent="0.2">
      <c r="M4283" s="309"/>
      <c r="AB4283" s="310"/>
    </row>
    <row r="4284" spans="13:28" s="308" customFormat="1" x14ac:dyDescent="0.2">
      <c r="M4284" s="309"/>
      <c r="AB4284" s="310"/>
    </row>
    <row r="4285" spans="13:28" s="308" customFormat="1" x14ac:dyDescent="0.2">
      <c r="M4285" s="309"/>
      <c r="AB4285" s="310"/>
    </row>
    <row r="4286" spans="13:28" s="308" customFormat="1" x14ac:dyDescent="0.2">
      <c r="M4286" s="309"/>
      <c r="AB4286" s="310"/>
    </row>
    <row r="4287" spans="13:28" s="308" customFormat="1" x14ac:dyDescent="0.2">
      <c r="M4287" s="309"/>
      <c r="AB4287" s="310"/>
    </row>
    <row r="4288" spans="13:28" s="308" customFormat="1" x14ac:dyDescent="0.2">
      <c r="M4288" s="309"/>
      <c r="AB4288" s="310"/>
    </row>
    <row r="4289" spans="13:28" s="308" customFormat="1" x14ac:dyDescent="0.2">
      <c r="M4289" s="309"/>
      <c r="AB4289" s="310"/>
    </row>
    <row r="4290" spans="13:28" s="308" customFormat="1" x14ac:dyDescent="0.2">
      <c r="M4290" s="309"/>
      <c r="AB4290" s="310"/>
    </row>
    <row r="4291" spans="13:28" s="308" customFormat="1" x14ac:dyDescent="0.2">
      <c r="M4291" s="309"/>
      <c r="AB4291" s="310"/>
    </row>
    <row r="4292" spans="13:28" s="308" customFormat="1" x14ac:dyDescent="0.2">
      <c r="M4292" s="309"/>
      <c r="AB4292" s="310"/>
    </row>
    <row r="4293" spans="13:28" s="308" customFormat="1" x14ac:dyDescent="0.2">
      <c r="M4293" s="309"/>
      <c r="AB4293" s="310"/>
    </row>
    <row r="4294" spans="13:28" s="308" customFormat="1" x14ac:dyDescent="0.2">
      <c r="M4294" s="309"/>
      <c r="AB4294" s="310"/>
    </row>
    <row r="4295" spans="13:28" s="308" customFormat="1" x14ac:dyDescent="0.2">
      <c r="M4295" s="309"/>
      <c r="AB4295" s="310"/>
    </row>
    <row r="4296" spans="13:28" s="308" customFormat="1" x14ac:dyDescent="0.2">
      <c r="M4296" s="309"/>
      <c r="AB4296" s="310"/>
    </row>
    <row r="4297" spans="13:28" s="308" customFormat="1" x14ac:dyDescent="0.2">
      <c r="M4297" s="309"/>
      <c r="AB4297" s="310"/>
    </row>
    <row r="4298" spans="13:28" s="308" customFormat="1" x14ac:dyDescent="0.2">
      <c r="M4298" s="309"/>
      <c r="AB4298" s="310"/>
    </row>
    <row r="4299" spans="13:28" s="308" customFormat="1" x14ac:dyDescent="0.2">
      <c r="M4299" s="309"/>
      <c r="AB4299" s="310"/>
    </row>
    <row r="4300" spans="13:28" s="308" customFormat="1" x14ac:dyDescent="0.2">
      <c r="M4300" s="309"/>
      <c r="AB4300" s="310"/>
    </row>
    <row r="4301" spans="13:28" s="308" customFormat="1" x14ac:dyDescent="0.2">
      <c r="M4301" s="309"/>
      <c r="AB4301" s="310"/>
    </row>
    <row r="4302" spans="13:28" s="308" customFormat="1" x14ac:dyDescent="0.2">
      <c r="M4302" s="309"/>
      <c r="AB4302" s="310"/>
    </row>
    <row r="4303" spans="13:28" s="308" customFormat="1" x14ac:dyDescent="0.2">
      <c r="M4303" s="309"/>
      <c r="AB4303" s="310"/>
    </row>
    <row r="4304" spans="13:28" s="308" customFormat="1" x14ac:dyDescent="0.2">
      <c r="M4304" s="309"/>
      <c r="AB4304" s="310"/>
    </row>
    <row r="4305" spans="13:28" s="308" customFormat="1" x14ac:dyDescent="0.2">
      <c r="M4305" s="309"/>
      <c r="AB4305" s="310"/>
    </row>
    <row r="4306" spans="13:28" s="308" customFormat="1" x14ac:dyDescent="0.2">
      <c r="M4306" s="309"/>
      <c r="AB4306" s="310"/>
    </row>
    <row r="4307" spans="13:28" s="308" customFormat="1" x14ac:dyDescent="0.2">
      <c r="M4307" s="309"/>
      <c r="AB4307" s="310"/>
    </row>
    <row r="4308" spans="13:28" s="308" customFormat="1" x14ac:dyDescent="0.2">
      <c r="M4308" s="309"/>
      <c r="AB4308" s="310"/>
    </row>
    <row r="4309" spans="13:28" s="308" customFormat="1" x14ac:dyDescent="0.2">
      <c r="M4309" s="309"/>
      <c r="AB4309" s="310"/>
    </row>
    <row r="4310" spans="13:28" s="308" customFormat="1" x14ac:dyDescent="0.2">
      <c r="M4310" s="309"/>
      <c r="AB4310" s="310"/>
    </row>
    <row r="4311" spans="13:28" s="308" customFormat="1" x14ac:dyDescent="0.2">
      <c r="M4311" s="309"/>
      <c r="AB4311" s="310"/>
    </row>
    <row r="4312" spans="13:28" s="308" customFormat="1" x14ac:dyDescent="0.2">
      <c r="M4312" s="309"/>
      <c r="AB4312" s="310"/>
    </row>
    <row r="4313" spans="13:28" s="308" customFormat="1" x14ac:dyDescent="0.2">
      <c r="M4313" s="309"/>
      <c r="AB4313" s="310"/>
    </row>
    <row r="4314" spans="13:28" s="308" customFormat="1" x14ac:dyDescent="0.2">
      <c r="M4314" s="309"/>
      <c r="AB4314" s="310"/>
    </row>
    <row r="4315" spans="13:28" s="308" customFormat="1" x14ac:dyDescent="0.2">
      <c r="M4315" s="309"/>
      <c r="AB4315" s="310"/>
    </row>
    <row r="4316" spans="13:28" s="308" customFormat="1" x14ac:dyDescent="0.2">
      <c r="M4316" s="309"/>
      <c r="AB4316" s="310"/>
    </row>
    <row r="4317" spans="13:28" s="308" customFormat="1" x14ac:dyDescent="0.2">
      <c r="M4317" s="309"/>
      <c r="AB4317" s="310"/>
    </row>
    <row r="4318" spans="13:28" s="308" customFormat="1" x14ac:dyDescent="0.2">
      <c r="M4318" s="309"/>
      <c r="AB4318" s="310"/>
    </row>
    <row r="4319" spans="13:28" s="308" customFormat="1" x14ac:dyDescent="0.2">
      <c r="M4319" s="309"/>
      <c r="AB4319" s="310"/>
    </row>
    <row r="4320" spans="13:28" s="308" customFormat="1" x14ac:dyDescent="0.2">
      <c r="M4320" s="309"/>
      <c r="AB4320" s="310"/>
    </row>
    <row r="4321" spans="13:28" s="308" customFormat="1" x14ac:dyDescent="0.2">
      <c r="M4321" s="309"/>
      <c r="AB4321" s="310"/>
    </row>
    <row r="4322" spans="13:28" s="308" customFormat="1" x14ac:dyDescent="0.2">
      <c r="M4322" s="309"/>
      <c r="AB4322" s="310"/>
    </row>
    <row r="4323" spans="13:28" s="308" customFormat="1" x14ac:dyDescent="0.2">
      <c r="M4323" s="309"/>
      <c r="AB4323" s="310"/>
    </row>
    <row r="4324" spans="13:28" s="308" customFormat="1" x14ac:dyDescent="0.2">
      <c r="M4324" s="309"/>
      <c r="AB4324" s="310"/>
    </row>
    <row r="4325" spans="13:28" s="308" customFormat="1" x14ac:dyDescent="0.2">
      <c r="M4325" s="309"/>
      <c r="AB4325" s="310"/>
    </row>
    <row r="4326" spans="13:28" s="308" customFormat="1" x14ac:dyDescent="0.2">
      <c r="M4326" s="309"/>
      <c r="AB4326" s="310"/>
    </row>
    <row r="4327" spans="13:28" s="308" customFormat="1" x14ac:dyDescent="0.2">
      <c r="M4327" s="309"/>
      <c r="AB4327" s="310"/>
    </row>
    <row r="4328" spans="13:28" s="308" customFormat="1" x14ac:dyDescent="0.2">
      <c r="M4328" s="309"/>
      <c r="AB4328" s="310"/>
    </row>
    <row r="4329" spans="13:28" s="308" customFormat="1" x14ac:dyDescent="0.2">
      <c r="M4329" s="309"/>
      <c r="AB4329" s="310"/>
    </row>
    <row r="4330" spans="13:28" s="308" customFormat="1" x14ac:dyDescent="0.2">
      <c r="M4330" s="309"/>
      <c r="AB4330" s="310"/>
    </row>
    <row r="4331" spans="13:28" s="308" customFormat="1" x14ac:dyDescent="0.2">
      <c r="M4331" s="309"/>
      <c r="AB4331" s="310"/>
    </row>
    <row r="4332" spans="13:28" s="308" customFormat="1" x14ac:dyDescent="0.2">
      <c r="M4332" s="309"/>
      <c r="AB4332" s="310"/>
    </row>
    <row r="4333" spans="13:28" s="308" customFormat="1" x14ac:dyDescent="0.2">
      <c r="M4333" s="309"/>
      <c r="AB4333" s="310"/>
    </row>
    <row r="4334" spans="13:28" s="308" customFormat="1" x14ac:dyDescent="0.2">
      <c r="M4334" s="309"/>
      <c r="AB4334" s="310"/>
    </row>
    <row r="4335" spans="13:28" s="308" customFormat="1" x14ac:dyDescent="0.2">
      <c r="M4335" s="309"/>
      <c r="AB4335" s="310"/>
    </row>
    <row r="4336" spans="13:28" s="308" customFormat="1" x14ac:dyDescent="0.2">
      <c r="M4336" s="309"/>
      <c r="AB4336" s="310"/>
    </row>
    <row r="4337" spans="13:28" s="308" customFormat="1" x14ac:dyDescent="0.2">
      <c r="M4337" s="309"/>
      <c r="AB4337" s="310"/>
    </row>
    <row r="4338" spans="13:28" s="308" customFormat="1" x14ac:dyDescent="0.2">
      <c r="M4338" s="309"/>
      <c r="AB4338" s="310"/>
    </row>
    <row r="4339" spans="13:28" s="308" customFormat="1" x14ac:dyDescent="0.2">
      <c r="M4339" s="309"/>
      <c r="AB4339" s="310"/>
    </row>
    <row r="4340" spans="13:28" s="308" customFormat="1" x14ac:dyDescent="0.2">
      <c r="M4340" s="309"/>
      <c r="AB4340" s="310"/>
    </row>
    <row r="4341" spans="13:28" s="308" customFormat="1" x14ac:dyDescent="0.2">
      <c r="M4341" s="309"/>
      <c r="AB4341" s="310"/>
    </row>
    <row r="4342" spans="13:28" s="308" customFormat="1" x14ac:dyDescent="0.2">
      <c r="M4342" s="309"/>
      <c r="AB4342" s="310"/>
    </row>
    <row r="4343" spans="13:28" s="308" customFormat="1" x14ac:dyDescent="0.2">
      <c r="M4343" s="309"/>
      <c r="AB4343" s="310"/>
    </row>
    <row r="4344" spans="13:28" s="308" customFormat="1" x14ac:dyDescent="0.2">
      <c r="M4344" s="309"/>
      <c r="AB4344" s="310"/>
    </row>
    <row r="4345" spans="13:28" s="308" customFormat="1" x14ac:dyDescent="0.2">
      <c r="M4345" s="309"/>
      <c r="AB4345" s="310"/>
    </row>
    <row r="4346" spans="13:28" s="308" customFormat="1" x14ac:dyDescent="0.2">
      <c r="M4346" s="309"/>
      <c r="AB4346" s="310"/>
    </row>
    <row r="4347" spans="13:28" s="308" customFormat="1" x14ac:dyDescent="0.2">
      <c r="M4347" s="309"/>
      <c r="AB4347" s="310"/>
    </row>
    <row r="4348" spans="13:28" s="308" customFormat="1" x14ac:dyDescent="0.2">
      <c r="M4348" s="309"/>
      <c r="AB4348" s="310"/>
    </row>
    <row r="4349" spans="13:28" s="308" customFormat="1" x14ac:dyDescent="0.2">
      <c r="M4349" s="309"/>
      <c r="AB4349" s="310"/>
    </row>
    <row r="4350" spans="13:28" s="308" customFormat="1" x14ac:dyDescent="0.2">
      <c r="M4350" s="309"/>
      <c r="AB4350" s="310"/>
    </row>
    <row r="4351" spans="13:28" s="308" customFormat="1" x14ac:dyDescent="0.2">
      <c r="M4351" s="309"/>
      <c r="AB4351" s="310"/>
    </row>
    <row r="4352" spans="13:28" s="308" customFormat="1" x14ac:dyDescent="0.2">
      <c r="M4352" s="309"/>
      <c r="AB4352" s="310"/>
    </row>
    <row r="4353" spans="13:28" s="308" customFormat="1" x14ac:dyDescent="0.2">
      <c r="M4353" s="309"/>
      <c r="AB4353" s="310"/>
    </row>
    <row r="4354" spans="13:28" s="308" customFormat="1" x14ac:dyDescent="0.2">
      <c r="M4354" s="309"/>
      <c r="AB4354" s="310"/>
    </row>
    <row r="4355" spans="13:28" s="308" customFormat="1" x14ac:dyDescent="0.2">
      <c r="M4355" s="309"/>
      <c r="AB4355" s="310"/>
    </row>
    <row r="4356" spans="13:28" s="308" customFormat="1" x14ac:dyDescent="0.2">
      <c r="M4356" s="309"/>
      <c r="AB4356" s="310"/>
    </row>
    <row r="4357" spans="13:28" s="308" customFormat="1" x14ac:dyDescent="0.2">
      <c r="M4357" s="309"/>
      <c r="AB4357" s="310"/>
    </row>
    <row r="4358" spans="13:28" s="308" customFormat="1" x14ac:dyDescent="0.2">
      <c r="M4358" s="309"/>
      <c r="AB4358" s="310"/>
    </row>
    <row r="4359" spans="13:28" s="308" customFormat="1" x14ac:dyDescent="0.2">
      <c r="M4359" s="309"/>
      <c r="AB4359" s="310"/>
    </row>
    <row r="4360" spans="13:28" s="308" customFormat="1" x14ac:dyDescent="0.2">
      <c r="M4360" s="309"/>
      <c r="AB4360" s="310"/>
    </row>
    <row r="4361" spans="13:28" s="308" customFormat="1" x14ac:dyDescent="0.2">
      <c r="M4361" s="309"/>
      <c r="AB4361" s="310"/>
    </row>
    <row r="4362" spans="13:28" s="308" customFormat="1" x14ac:dyDescent="0.2">
      <c r="M4362" s="309"/>
      <c r="AB4362" s="310"/>
    </row>
    <row r="4363" spans="13:28" s="308" customFormat="1" x14ac:dyDescent="0.2">
      <c r="M4363" s="309"/>
      <c r="AB4363" s="310"/>
    </row>
    <row r="4364" spans="13:28" s="308" customFormat="1" x14ac:dyDescent="0.2">
      <c r="M4364" s="309"/>
      <c r="AB4364" s="310"/>
    </row>
    <row r="4365" spans="13:28" s="308" customFormat="1" x14ac:dyDescent="0.2">
      <c r="M4365" s="309"/>
      <c r="AB4365" s="310"/>
    </row>
    <row r="4366" spans="13:28" s="308" customFormat="1" x14ac:dyDescent="0.2">
      <c r="M4366" s="309"/>
      <c r="AB4366" s="310"/>
    </row>
    <row r="4367" spans="13:28" s="308" customFormat="1" x14ac:dyDescent="0.2">
      <c r="M4367" s="309"/>
      <c r="AB4367" s="310"/>
    </row>
    <row r="4368" spans="13:28" s="308" customFormat="1" x14ac:dyDescent="0.2">
      <c r="M4368" s="309"/>
      <c r="AB4368" s="310"/>
    </row>
    <row r="4369" spans="13:28" s="308" customFormat="1" x14ac:dyDescent="0.2">
      <c r="M4369" s="309"/>
      <c r="AB4369" s="310"/>
    </row>
    <row r="4370" spans="13:28" s="308" customFormat="1" x14ac:dyDescent="0.2">
      <c r="M4370" s="309"/>
      <c r="AB4370" s="310"/>
    </row>
    <row r="4371" spans="13:28" s="308" customFormat="1" x14ac:dyDescent="0.2">
      <c r="M4371" s="309"/>
      <c r="AB4371" s="310"/>
    </row>
    <row r="4372" spans="13:28" s="308" customFormat="1" x14ac:dyDescent="0.2">
      <c r="M4372" s="309"/>
      <c r="AB4372" s="310"/>
    </row>
    <row r="4373" spans="13:28" s="308" customFormat="1" x14ac:dyDescent="0.2">
      <c r="M4373" s="309"/>
      <c r="AB4373" s="310"/>
    </row>
    <row r="4374" spans="13:28" s="308" customFormat="1" x14ac:dyDescent="0.2">
      <c r="M4374" s="309"/>
      <c r="AB4374" s="310"/>
    </row>
    <row r="4375" spans="13:28" s="308" customFormat="1" x14ac:dyDescent="0.2">
      <c r="M4375" s="309"/>
      <c r="AB4375" s="310"/>
    </row>
    <row r="4376" spans="13:28" s="308" customFormat="1" x14ac:dyDescent="0.2">
      <c r="M4376" s="309"/>
      <c r="AB4376" s="310"/>
    </row>
    <row r="4377" spans="13:28" s="308" customFormat="1" x14ac:dyDescent="0.2">
      <c r="M4377" s="309"/>
      <c r="AB4377" s="310"/>
    </row>
    <row r="4378" spans="13:28" s="308" customFormat="1" x14ac:dyDescent="0.2">
      <c r="M4378" s="309"/>
      <c r="AB4378" s="310"/>
    </row>
    <row r="4379" spans="13:28" s="308" customFormat="1" x14ac:dyDescent="0.2">
      <c r="M4379" s="309"/>
      <c r="AB4379" s="310"/>
    </row>
    <row r="4380" spans="13:28" s="308" customFormat="1" x14ac:dyDescent="0.2">
      <c r="M4380" s="309"/>
      <c r="AB4380" s="310"/>
    </row>
    <row r="4381" spans="13:28" s="308" customFormat="1" x14ac:dyDescent="0.2">
      <c r="M4381" s="309"/>
      <c r="AB4381" s="310"/>
    </row>
    <row r="4382" spans="13:28" s="308" customFormat="1" x14ac:dyDescent="0.2">
      <c r="M4382" s="309"/>
      <c r="AB4382" s="310"/>
    </row>
    <row r="4383" spans="13:28" s="308" customFormat="1" x14ac:dyDescent="0.2">
      <c r="M4383" s="309"/>
      <c r="AB4383" s="310"/>
    </row>
    <row r="4384" spans="13:28" s="308" customFormat="1" x14ac:dyDescent="0.2">
      <c r="M4384" s="309"/>
      <c r="AB4384" s="310"/>
    </row>
    <row r="4385" spans="13:28" s="308" customFormat="1" x14ac:dyDescent="0.2">
      <c r="M4385" s="309"/>
      <c r="AB4385" s="310"/>
    </row>
    <row r="4386" spans="13:28" s="308" customFormat="1" x14ac:dyDescent="0.2">
      <c r="M4386" s="309"/>
      <c r="AB4386" s="310"/>
    </row>
    <row r="4387" spans="13:28" s="308" customFormat="1" x14ac:dyDescent="0.2">
      <c r="M4387" s="309"/>
      <c r="AB4387" s="310"/>
    </row>
    <row r="4388" spans="13:28" s="308" customFormat="1" x14ac:dyDescent="0.2">
      <c r="M4388" s="309"/>
      <c r="AB4388" s="310"/>
    </row>
    <row r="4389" spans="13:28" s="308" customFormat="1" x14ac:dyDescent="0.2">
      <c r="M4389" s="309"/>
      <c r="AB4389" s="310"/>
    </row>
    <row r="4390" spans="13:28" s="308" customFormat="1" x14ac:dyDescent="0.2">
      <c r="M4390" s="309"/>
      <c r="AB4390" s="310"/>
    </row>
    <row r="4391" spans="13:28" s="308" customFormat="1" x14ac:dyDescent="0.2">
      <c r="M4391" s="309"/>
      <c r="AB4391" s="310"/>
    </row>
    <row r="4392" spans="13:28" s="308" customFormat="1" x14ac:dyDescent="0.2">
      <c r="M4392" s="309"/>
      <c r="AB4392" s="310"/>
    </row>
    <row r="4393" spans="13:28" s="308" customFormat="1" x14ac:dyDescent="0.2">
      <c r="M4393" s="309"/>
      <c r="AB4393" s="310"/>
    </row>
    <row r="4394" spans="13:28" s="308" customFormat="1" x14ac:dyDescent="0.2">
      <c r="M4394" s="309"/>
      <c r="AB4394" s="310"/>
    </row>
    <row r="4395" spans="13:28" s="308" customFormat="1" x14ac:dyDescent="0.2">
      <c r="M4395" s="309"/>
      <c r="AB4395" s="310"/>
    </row>
    <row r="4396" spans="13:28" s="308" customFormat="1" x14ac:dyDescent="0.2">
      <c r="M4396" s="309"/>
      <c r="AB4396" s="310"/>
    </row>
    <row r="4397" spans="13:28" s="308" customFormat="1" x14ac:dyDescent="0.2">
      <c r="M4397" s="309"/>
      <c r="AB4397" s="310"/>
    </row>
    <row r="4398" spans="13:28" s="308" customFormat="1" x14ac:dyDescent="0.2">
      <c r="M4398" s="309"/>
      <c r="AB4398" s="310"/>
    </row>
    <row r="4399" spans="13:28" s="308" customFormat="1" x14ac:dyDescent="0.2">
      <c r="M4399" s="309"/>
      <c r="AB4399" s="310"/>
    </row>
    <row r="4400" spans="13:28" s="308" customFormat="1" x14ac:dyDescent="0.2">
      <c r="M4400" s="309"/>
      <c r="AB4400" s="310"/>
    </row>
    <row r="4401" spans="13:28" s="308" customFormat="1" x14ac:dyDescent="0.2">
      <c r="M4401" s="309"/>
      <c r="AB4401" s="310"/>
    </row>
    <row r="4402" spans="13:28" s="308" customFormat="1" x14ac:dyDescent="0.2">
      <c r="M4402" s="309"/>
      <c r="AB4402" s="310"/>
    </row>
    <row r="4403" spans="13:28" s="308" customFormat="1" x14ac:dyDescent="0.2">
      <c r="M4403" s="309"/>
      <c r="AB4403" s="310"/>
    </row>
    <row r="4404" spans="13:28" s="308" customFormat="1" x14ac:dyDescent="0.2">
      <c r="M4404" s="309"/>
      <c r="AB4404" s="310"/>
    </row>
    <row r="4405" spans="13:28" s="308" customFormat="1" x14ac:dyDescent="0.2">
      <c r="M4405" s="309"/>
      <c r="AB4405" s="310"/>
    </row>
    <row r="4406" spans="13:28" s="308" customFormat="1" x14ac:dyDescent="0.2">
      <c r="M4406" s="309"/>
      <c r="AB4406" s="310"/>
    </row>
    <row r="4407" spans="13:28" s="308" customFormat="1" x14ac:dyDescent="0.2">
      <c r="M4407" s="309"/>
      <c r="AB4407" s="310"/>
    </row>
    <row r="4408" spans="13:28" s="308" customFormat="1" x14ac:dyDescent="0.2">
      <c r="M4408" s="309"/>
      <c r="AB4408" s="310"/>
    </row>
    <row r="4409" spans="13:28" s="308" customFormat="1" x14ac:dyDescent="0.2">
      <c r="M4409" s="309"/>
      <c r="AB4409" s="310"/>
    </row>
    <row r="4410" spans="13:28" s="308" customFormat="1" x14ac:dyDescent="0.2">
      <c r="M4410" s="309"/>
      <c r="AB4410" s="310"/>
    </row>
    <row r="4411" spans="13:28" s="308" customFormat="1" x14ac:dyDescent="0.2">
      <c r="M4411" s="309"/>
      <c r="AB4411" s="310"/>
    </row>
    <row r="4412" spans="13:28" s="308" customFormat="1" x14ac:dyDescent="0.2">
      <c r="M4412" s="309"/>
      <c r="AB4412" s="310"/>
    </row>
    <row r="4413" spans="13:28" s="308" customFormat="1" x14ac:dyDescent="0.2">
      <c r="M4413" s="309"/>
      <c r="AB4413" s="310"/>
    </row>
    <row r="4414" spans="13:28" s="308" customFormat="1" x14ac:dyDescent="0.2">
      <c r="M4414" s="309"/>
      <c r="AB4414" s="310"/>
    </row>
    <row r="4415" spans="13:28" s="308" customFormat="1" x14ac:dyDescent="0.2">
      <c r="M4415" s="309"/>
      <c r="AB4415" s="310"/>
    </row>
    <row r="4416" spans="13:28" s="308" customFormat="1" x14ac:dyDescent="0.2">
      <c r="M4416" s="309"/>
      <c r="AB4416" s="310"/>
    </row>
    <row r="4417" spans="13:28" s="308" customFormat="1" x14ac:dyDescent="0.2">
      <c r="M4417" s="309"/>
      <c r="AB4417" s="310"/>
    </row>
    <row r="4418" spans="13:28" s="308" customFormat="1" x14ac:dyDescent="0.2">
      <c r="M4418" s="309"/>
      <c r="AB4418" s="310"/>
    </row>
    <row r="4419" spans="13:28" s="308" customFormat="1" x14ac:dyDescent="0.2">
      <c r="M4419" s="309"/>
      <c r="AB4419" s="310"/>
    </row>
    <row r="4420" spans="13:28" s="308" customFormat="1" x14ac:dyDescent="0.2">
      <c r="M4420" s="309"/>
      <c r="AB4420" s="310"/>
    </row>
    <row r="4421" spans="13:28" s="308" customFormat="1" x14ac:dyDescent="0.2">
      <c r="M4421" s="309"/>
      <c r="AB4421" s="310"/>
    </row>
    <row r="4422" spans="13:28" s="308" customFormat="1" x14ac:dyDescent="0.2">
      <c r="M4422" s="309"/>
      <c r="AB4422" s="310"/>
    </row>
    <row r="4423" spans="13:28" s="308" customFormat="1" x14ac:dyDescent="0.2">
      <c r="M4423" s="309"/>
      <c r="AB4423" s="310"/>
    </row>
    <row r="4424" spans="13:28" s="308" customFormat="1" x14ac:dyDescent="0.2">
      <c r="M4424" s="309"/>
      <c r="AB4424" s="310"/>
    </row>
    <row r="4425" spans="13:28" s="308" customFormat="1" x14ac:dyDescent="0.2">
      <c r="M4425" s="309"/>
      <c r="AB4425" s="310"/>
    </row>
    <row r="4426" spans="13:28" s="308" customFormat="1" x14ac:dyDescent="0.2">
      <c r="M4426" s="309"/>
      <c r="AB4426" s="310"/>
    </row>
    <row r="4427" spans="13:28" s="308" customFormat="1" x14ac:dyDescent="0.2">
      <c r="M4427" s="309"/>
      <c r="AB4427" s="310"/>
    </row>
    <row r="4428" spans="13:28" s="308" customFormat="1" x14ac:dyDescent="0.2">
      <c r="M4428" s="309"/>
      <c r="AB4428" s="310"/>
    </row>
    <row r="4429" spans="13:28" s="308" customFormat="1" x14ac:dyDescent="0.2">
      <c r="M4429" s="309"/>
      <c r="AB4429" s="310"/>
    </row>
    <row r="4430" spans="13:28" s="308" customFormat="1" x14ac:dyDescent="0.2">
      <c r="M4430" s="309"/>
      <c r="AB4430" s="310"/>
    </row>
    <row r="4431" spans="13:28" s="308" customFormat="1" x14ac:dyDescent="0.2">
      <c r="M4431" s="309"/>
      <c r="AB4431" s="310"/>
    </row>
    <row r="4432" spans="13:28" s="308" customFormat="1" x14ac:dyDescent="0.2">
      <c r="M4432" s="309"/>
      <c r="AB4432" s="310"/>
    </row>
    <row r="4433" spans="13:28" s="308" customFormat="1" x14ac:dyDescent="0.2">
      <c r="M4433" s="309"/>
      <c r="AB4433" s="310"/>
    </row>
    <row r="4434" spans="13:28" s="308" customFormat="1" x14ac:dyDescent="0.2">
      <c r="M4434" s="309"/>
      <c r="AB4434" s="310"/>
    </row>
    <row r="4435" spans="13:28" s="308" customFormat="1" x14ac:dyDescent="0.2">
      <c r="M4435" s="309"/>
      <c r="AB4435" s="310"/>
    </row>
    <row r="4436" spans="13:28" s="308" customFormat="1" x14ac:dyDescent="0.2">
      <c r="M4436" s="309"/>
      <c r="AB4436" s="310"/>
    </row>
    <row r="4437" spans="13:28" s="308" customFormat="1" x14ac:dyDescent="0.2">
      <c r="M4437" s="309"/>
      <c r="AB4437" s="310"/>
    </row>
    <row r="4438" spans="13:28" s="308" customFormat="1" x14ac:dyDescent="0.2">
      <c r="M4438" s="309"/>
      <c r="AB4438" s="310"/>
    </row>
    <row r="4439" spans="13:28" s="308" customFormat="1" x14ac:dyDescent="0.2">
      <c r="M4439" s="309"/>
      <c r="AB4439" s="310"/>
    </row>
    <row r="4440" spans="13:28" s="308" customFormat="1" x14ac:dyDescent="0.2">
      <c r="M4440" s="309"/>
      <c r="AB4440" s="310"/>
    </row>
    <row r="4441" spans="13:28" s="308" customFormat="1" x14ac:dyDescent="0.2">
      <c r="M4441" s="309"/>
      <c r="AB4441" s="310"/>
    </row>
    <row r="4442" spans="13:28" s="308" customFormat="1" x14ac:dyDescent="0.2">
      <c r="M4442" s="309"/>
      <c r="AB4442" s="310"/>
    </row>
    <row r="4443" spans="13:28" s="308" customFormat="1" x14ac:dyDescent="0.2">
      <c r="M4443" s="309"/>
      <c r="AB4443" s="310"/>
    </row>
    <row r="4444" spans="13:28" s="308" customFormat="1" x14ac:dyDescent="0.2">
      <c r="M4444" s="309"/>
      <c r="AB4444" s="310"/>
    </row>
    <row r="4445" spans="13:28" s="308" customFormat="1" x14ac:dyDescent="0.2">
      <c r="M4445" s="309"/>
      <c r="AB4445" s="310"/>
    </row>
    <row r="4446" spans="13:28" s="308" customFormat="1" x14ac:dyDescent="0.2">
      <c r="M4446" s="309"/>
      <c r="AB4446" s="310"/>
    </row>
    <row r="4447" spans="13:28" s="308" customFormat="1" x14ac:dyDescent="0.2">
      <c r="M4447" s="309"/>
      <c r="AB4447" s="310"/>
    </row>
    <row r="4448" spans="13:28" s="308" customFormat="1" x14ac:dyDescent="0.2">
      <c r="M4448" s="309"/>
      <c r="AB4448" s="310"/>
    </row>
    <row r="4449" spans="13:28" s="308" customFormat="1" x14ac:dyDescent="0.2">
      <c r="M4449" s="309"/>
      <c r="AB4449" s="310"/>
    </row>
    <row r="4450" spans="13:28" s="308" customFormat="1" x14ac:dyDescent="0.2">
      <c r="M4450" s="309"/>
      <c r="AB4450" s="310"/>
    </row>
    <row r="4451" spans="13:28" s="308" customFormat="1" x14ac:dyDescent="0.2">
      <c r="M4451" s="309"/>
      <c r="AB4451" s="310"/>
    </row>
    <row r="4452" spans="13:28" s="308" customFormat="1" x14ac:dyDescent="0.2">
      <c r="M4452" s="309"/>
      <c r="AB4452" s="310"/>
    </row>
    <row r="4453" spans="13:28" s="308" customFormat="1" x14ac:dyDescent="0.2">
      <c r="M4453" s="309"/>
      <c r="AB4453" s="310"/>
    </row>
    <row r="4454" spans="13:28" s="308" customFormat="1" x14ac:dyDescent="0.2">
      <c r="M4454" s="309"/>
      <c r="AB4454" s="310"/>
    </row>
    <row r="4455" spans="13:28" s="308" customFormat="1" x14ac:dyDescent="0.2">
      <c r="M4455" s="309"/>
      <c r="AB4455" s="310"/>
    </row>
    <row r="4456" spans="13:28" s="308" customFormat="1" x14ac:dyDescent="0.2">
      <c r="M4456" s="309"/>
      <c r="AB4456" s="310"/>
    </row>
    <row r="4457" spans="13:28" s="308" customFormat="1" x14ac:dyDescent="0.2">
      <c r="M4457" s="309"/>
      <c r="AB4457" s="310"/>
    </row>
    <row r="4458" spans="13:28" s="308" customFormat="1" x14ac:dyDescent="0.2">
      <c r="M4458" s="309"/>
      <c r="AB4458" s="310"/>
    </row>
    <row r="4459" spans="13:28" s="308" customFormat="1" x14ac:dyDescent="0.2">
      <c r="M4459" s="309"/>
      <c r="AB4459" s="310"/>
    </row>
    <row r="4460" spans="13:28" s="308" customFormat="1" x14ac:dyDescent="0.2">
      <c r="M4460" s="309"/>
      <c r="AB4460" s="310"/>
    </row>
    <row r="4461" spans="13:28" s="308" customFormat="1" x14ac:dyDescent="0.2">
      <c r="M4461" s="309"/>
      <c r="AB4461" s="310"/>
    </row>
    <row r="4462" spans="13:28" s="308" customFormat="1" x14ac:dyDescent="0.2">
      <c r="M4462" s="309"/>
      <c r="AB4462" s="310"/>
    </row>
    <row r="4463" spans="13:28" s="308" customFormat="1" x14ac:dyDescent="0.2">
      <c r="M4463" s="309"/>
      <c r="AB4463" s="310"/>
    </row>
    <row r="4464" spans="13:28" s="308" customFormat="1" x14ac:dyDescent="0.2">
      <c r="M4464" s="309"/>
      <c r="AB4464" s="310"/>
    </row>
    <row r="4465" spans="13:28" s="308" customFormat="1" x14ac:dyDescent="0.2">
      <c r="M4465" s="309"/>
      <c r="AB4465" s="310"/>
    </row>
    <row r="4466" spans="13:28" s="308" customFormat="1" x14ac:dyDescent="0.2">
      <c r="M4466" s="309"/>
      <c r="AB4466" s="310"/>
    </row>
    <row r="4467" spans="13:28" s="308" customFormat="1" x14ac:dyDescent="0.2">
      <c r="M4467" s="309"/>
      <c r="AB4467" s="310"/>
    </row>
    <row r="4468" spans="13:28" s="308" customFormat="1" x14ac:dyDescent="0.2">
      <c r="M4468" s="309"/>
      <c r="AB4468" s="310"/>
    </row>
    <row r="4469" spans="13:28" s="308" customFormat="1" x14ac:dyDescent="0.2">
      <c r="M4469" s="309"/>
      <c r="AB4469" s="310"/>
    </row>
    <row r="4470" spans="13:28" s="308" customFormat="1" x14ac:dyDescent="0.2">
      <c r="M4470" s="309"/>
      <c r="AB4470" s="310"/>
    </row>
    <row r="4471" spans="13:28" s="308" customFormat="1" x14ac:dyDescent="0.2">
      <c r="M4471" s="309"/>
      <c r="AB4471" s="310"/>
    </row>
    <row r="4472" spans="13:28" s="308" customFormat="1" x14ac:dyDescent="0.2">
      <c r="M4472" s="309"/>
      <c r="AB4472" s="310"/>
    </row>
    <row r="4473" spans="13:28" s="308" customFormat="1" x14ac:dyDescent="0.2">
      <c r="M4473" s="309"/>
      <c r="AB4473" s="310"/>
    </row>
    <row r="4474" spans="13:28" s="308" customFormat="1" x14ac:dyDescent="0.2">
      <c r="M4474" s="309"/>
      <c r="AB4474" s="310"/>
    </row>
    <row r="4475" spans="13:28" s="308" customFormat="1" x14ac:dyDescent="0.2">
      <c r="M4475" s="309"/>
      <c r="AB4475" s="310"/>
    </row>
    <row r="4476" spans="13:28" s="308" customFormat="1" x14ac:dyDescent="0.2">
      <c r="M4476" s="309"/>
      <c r="AB4476" s="310"/>
    </row>
    <row r="4477" spans="13:28" s="308" customFormat="1" x14ac:dyDescent="0.2">
      <c r="M4477" s="309"/>
      <c r="AB4477" s="310"/>
    </row>
    <row r="4478" spans="13:28" s="308" customFormat="1" x14ac:dyDescent="0.2">
      <c r="M4478" s="309"/>
      <c r="AB4478" s="310"/>
    </row>
    <row r="4479" spans="13:28" s="308" customFormat="1" x14ac:dyDescent="0.2">
      <c r="M4479" s="309"/>
      <c r="AB4479" s="310"/>
    </row>
    <row r="4480" spans="13:28" s="308" customFormat="1" x14ac:dyDescent="0.2">
      <c r="M4480" s="309"/>
      <c r="AB4480" s="310"/>
    </row>
    <row r="4481" spans="13:28" s="308" customFormat="1" x14ac:dyDescent="0.2">
      <c r="M4481" s="309"/>
      <c r="AB4481" s="310"/>
    </row>
    <row r="4482" spans="13:28" s="308" customFormat="1" x14ac:dyDescent="0.2">
      <c r="M4482" s="309"/>
      <c r="AB4482" s="310"/>
    </row>
    <row r="4483" spans="13:28" s="308" customFormat="1" x14ac:dyDescent="0.2">
      <c r="M4483" s="309"/>
      <c r="AB4483" s="310"/>
    </row>
    <row r="4484" spans="13:28" s="308" customFormat="1" x14ac:dyDescent="0.2">
      <c r="M4484" s="309"/>
      <c r="AB4484" s="310"/>
    </row>
    <row r="4485" spans="13:28" s="308" customFormat="1" x14ac:dyDescent="0.2">
      <c r="M4485" s="309"/>
      <c r="AB4485" s="310"/>
    </row>
    <row r="4486" spans="13:28" s="308" customFormat="1" x14ac:dyDescent="0.2">
      <c r="M4486" s="309"/>
      <c r="AB4486" s="310"/>
    </row>
    <row r="4487" spans="13:28" s="308" customFormat="1" x14ac:dyDescent="0.2">
      <c r="M4487" s="309"/>
      <c r="AB4487" s="310"/>
    </row>
    <row r="4488" spans="13:28" s="308" customFormat="1" x14ac:dyDescent="0.2">
      <c r="M4488" s="309"/>
      <c r="AB4488" s="310"/>
    </row>
    <row r="4489" spans="13:28" s="308" customFormat="1" x14ac:dyDescent="0.2">
      <c r="M4489" s="309"/>
      <c r="AB4489" s="310"/>
    </row>
    <row r="4490" spans="13:28" s="308" customFormat="1" x14ac:dyDescent="0.2">
      <c r="M4490" s="309"/>
      <c r="AB4490" s="310"/>
    </row>
    <row r="4491" spans="13:28" s="308" customFormat="1" x14ac:dyDescent="0.2">
      <c r="M4491" s="309"/>
      <c r="AB4491" s="310"/>
    </row>
    <row r="4492" spans="13:28" s="308" customFormat="1" x14ac:dyDescent="0.2">
      <c r="M4492" s="309"/>
      <c r="AB4492" s="310"/>
    </row>
    <row r="4493" spans="13:28" s="308" customFormat="1" x14ac:dyDescent="0.2">
      <c r="M4493" s="309"/>
      <c r="AB4493" s="310"/>
    </row>
    <row r="4494" spans="13:28" s="308" customFormat="1" x14ac:dyDescent="0.2">
      <c r="M4494" s="309"/>
      <c r="AB4494" s="310"/>
    </row>
    <row r="4495" spans="13:28" s="308" customFormat="1" x14ac:dyDescent="0.2">
      <c r="M4495" s="309"/>
      <c r="AB4495" s="310"/>
    </row>
    <row r="4496" spans="13:28" s="308" customFormat="1" x14ac:dyDescent="0.2">
      <c r="M4496" s="309"/>
      <c r="AB4496" s="310"/>
    </row>
    <row r="4497" spans="13:28" s="308" customFormat="1" x14ac:dyDescent="0.2">
      <c r="M4497" s="309"/>
      <c r="AB4497" s="310"/>
    </row>
    <row r="4498" spans="13:28" s="308" customFormat="1" x14ac:dyDescent="0.2">
      <c r="M4498" s="309"/>
      <c r="AB4498" s="310"/>
    </row>
    <row r="4499" spans="13:28" s="308" customFormat="1" x14ac:dyDescent="0.2">
      <c r="M4499" s="309"/>
      <c r="AB4499" s="310"/>
    </row>
    <row r="4500" spans="13:28" s="308" customFormat="1" x14ac:dyDescent="0.2">
      <c r="M4500" s="309"/>
      <c r="AB4500" s="310"/>
    </row>
    <row r="4501" spans="13:28" s="308" customFormat="1" x14ac:dyDescent="0.2">
      <c r="M4501" s="309"/>
      <c r="AB4501" s="310"/>
    </row>
    <row r="4502" spans="13:28" s="308" customFormat="1" x14ac:dyDescent="0.2">
      <c r="M4502" s="309"/>
      <c r="AB4502" s="310"/>
    </row>
    <row r="4503" spans="13:28" s="308" customFormat="1" x14ac:dyDescent="0.2">
      <c r="M4503" s="309"/>
      <c r="AB4503" s="310"/>
    </row>
    <row r="4504" spans="13:28" s="308" customFormat="1" x14ac:dyDescent="0.2">
      <c r="M4504" s="309"/>
      <c r="AB4504" s="310"/>
    </row>
    <row r="4505" spans="13:28" s="308" customFormat="1" x14ac:dyDescent="0.2">
      <c r="M4505" s="309"/>
      <c r="AB4505" s="310"/>
    </row>
    <row r="4506" spans="13:28" s="308" customFormat="1" x14ac:dyDescent="0.2">
      <c r="M4506" s="309"/>
      <c r="AB4506" s="310"/>
    </row>
    <row r="4507" spans="13:28" s="308" customFormat="1" x14ac:dyDescent="0.2">
      <c r="M4507" s="309"/>
      <c r="AB4507" s="310"/>
    </row>
    <row r="4508" spans="13:28" s="308" customFormat="1" x14ac:dyDescent="0.2">
      <c r="M4508" s="309"/>
      <c r="AB4508" s="310"/>
    </row>
    <row r="4509" spans="13:28" s="308" customFormat="1" x14ac:dyDescent="0.2">
      <c r="M4509" s="309"/>
      <c r="AB4509" s="310"/>
    </row>
    <row r="4510" spans="13:28" s="308" customFormat="1" x14ac:dyDescent="0.2">
      <c r="M4510" s="309"/>
      <c r="AB4510" s="310"/>
    </row>
    <row r="4511" spans="13:28" s="308" customFormat="1" x14ac:dyDescent="0.2">
      <c r="M4511" s="309"/>
      <c r="AB4511" s="310"/>
    </row>
    <row r="4512" spans="13:28" s="308" customFormat="1" x14ac:dyDescent="0.2">
      <c r="M4512" s="309"/>
      <c r="AB4512" s="310"/>
    </row>
    <row r="4513" spans="13:28" s="308" customFormat="1" x14ac:dyDescent="0.2">
      <c r="M4513" s="309"/>
      <c r="AB4513" s="310"/>
    </row>
    <row r="4514" spans="13:28" s="308" customFormat="1" x14ac:dyDescent="0.2">
      <c r="M4514" s="309"/>
      <c r="AB4514" s="310"/>
    </row>
    <row r="4515" spans="13:28" s="308" customFormat="1" x14ac:dyDescent="0.2">
      <c r="M4515" s="309"/>
      <c r="AB4515" s="310"/>
    </row>
    <row r="4516" spans="13:28" s="308" customFormat="1" x14ac:dyDescent="0.2">
      <c r="M4516" s="309"/>
      <c r="AB4516" s="310"/>
    </row>
    <row r="4517" spans="13:28" s="308" customFormat="1" x14ac:dyDescent="0.2">
      <c r="M4517" s="309"/>
      <c r="AB4517" s="310"/>
    </row>
    <row r="4518" spans="13:28" s="308" customFormat="1" x14ac:dyDescent="0.2">
      <c r="M4518" s="309"/>
      <c r="AB4518" s="310"/>
    </row>
    <row r="4519" spans="13:28" s="308" customFormat="1" x14ac:dyDescent="0.2">
      <c r="M4519" s="309"/>
      <c r="AB4519" s="310"/>
    </row>
    <row r="4520" spans="13:28" s="308" customFormat="1" x14ac:dyDescent="0.2">
      <c r="M4520" s="309"/>
      <c r="AB4520" s="310"/>
    </row>
    <row r="4521" spans="13:28" s="308" customFormat="1" x14ac:dyDescent="0.2">
      <c r="M4521" s="309"/>
      <c r="AB4521" s="310"/>
    </row>
    <row r="4522" spans="13:28" s="308" customFormat="1" x14ac:dyDescent="0.2">
      <c r="M4522" s="309"/>
      <c r="AB4522" s="310"/>
    </row>
    <row r="4523" spans="13:28" s="308" customFormat="1" x14ac:dyDescent="0.2">
      <c r="M4523" s="309"/>
      <c r="AB4523" s="310"/>
    </row>
    <row r="4524" spans="13:28" s="308" customFormat="1" x14ac:dyDescent="0.2">
      <c r="M4524" s="309"/>
      <c r="AB4524" s="310"/>
    </row>
    <row r="4525" spans="13:28" s="308" customFormat="1" x14ac:dyDescent="0.2">
      <c r="M4525" s="309"/>
      <c r="AB4525" s="310"/>
    </row>
    <row r="4526" spans="13:28" s="308" customFormat="1" x14ac:dyDescent="0.2">
      <c r="M4526" s="309"/>
      <c r="AB4526" s="310"/>
    </row>
    <row r="4527" spans="13:28" s="308" customFormat="1" x14ac:dyDescent="0.2">
      <c r="M4527" s="309"/>
      <c r="AB4527" s="310"/>
    </row>
    <row r="4528" spans="13:28" s="308" customFormat="1" x14ac:dyDescent="0.2">
      <c r="M4528" s="309"/>
      <c r="AB4528" s="310"/>
    </row>
    <row r="4529" spans="13:28" s="308" customFormat="1" x14ac:dyDescent="0.2">
      <c r="M4529" s="309"/>
      <c r="AB4529" s="310"/>
    </row>
    <row r="4530" spans="13:28" s="308" customFormat="1" x14ac:dyDescent="0.2">
      <c r="M4530" s="309"/>
      <c r="AB4530" s="310"/>
    </row>
    <row r="4531" spans="13:28" s="308" customFormat="1" x14ac:dyDescent="0.2">
      <c r="M4531" s="309"/>
      <c r="AB4531" s="310"/>
    </row>
    <row r="4532" spans="13:28" s="308" customFormat="1" x14ac:dyDescent="0.2">
      <c r="M4532" s="309"/>
      <c r="AB4532" s="310"/>
    </row>
    <row r="4533" spans="13:28" s="308" customFormat="1" x14ac:dyDescent="0.2">
      <c r="M4533" s="309"/>
      <c r="AB4533" s="310"/>
    </row>
    <row r="4534" spans="13:28" s="308" customFormat="1" x14ac:dyDescent="0.2">
      <c r="M4534" s="309"/>
      <c r="AB4534" s="310"/>
    </row>
    <row r="4535" spans="13:28" s="308" customFormat="1" x14ac:dyDescent="0.2">
      <c r="M4535" s="309"/>
      <c r="AB4535" s="310"/>
    </row>
    <row r="4536" spans="13:28" s="308" customFormat="1" x14ac:dyDescent="0.2">
      <c r="M4536" s="309"/>
      <c r="AB4536" s="310"/>
    </row>
    <row r="4537" spans="13:28" s="308" customFormat="1" x14ac:dyDescent="0.2">
      <c r="M4537" s="309"/>
      <c r="AB4537" s="310"/>
    </row>
    <row r="4538" spans="13:28" s="308" customFormat="1" x14ac:dyDescent="0.2">
      <c r="M4538" s="309"/>
      <c r="AB4538" s="310"/>
    </row>
    <row r="4539" spans="13:28" s="308" customFormat="1" x14ac:dyDescent="0.2">
      <c r="M4539" s="309"/>
      <c r="AB4539" s="310"/>
    </row>
    <row r="4540" spans="13:28" s="308" customFormat="1" x14ac:dyDescent="0.2">
      <c r="M4540" s="309"/>
      <c r="AB4540" s="310"/>
    </row>
    <row r="4541" spans="13:28" s="308" customFormat="1" x14ac:dyDescent="0.2">
      <c r="M4541" s="309"/>
      <c r="AB4541" s="310"/>
    </row>
    <row r="4542" spans="13:28" s="308" customFormat="1" x14ac:dyDescent="0.2">
      <c r="M4542" s="309"/>
      <c r="AB4542" s="310"/>
    </row>
    <row r="4543" spans="13:28" s="308" customFormat="1" x14ac:dyDescent="0.2">
      <c r="M4543" s="309"/>
      <c r="AB4543" s="310"/>
    </row>
    <row r="4544" spans="13:28" s="308" customFormat="1" x14ac:dyDescent="0.2">
      <c r="M4544" s="309"/>
      <c r="AB4544" s="310"/>
    </row>
    <row r="4545" spans="13:28" s="308" customFormat="1" x14ac:dyDescent="0.2">
      <c r="M4545" s="309"/>
      <c r="AB4545" s="310"/>
    </row>
    <row r="4546" spans="13:28" s="308" customFormat="1" x14ac:dyDescent="0.2">
      <c r="M4546" s="309"/>
      <c r="AB4546" s="310"/>
    </row>
    <row r="4547" spans="13:28" s="308" customFormat="1" x14ac:dyDescent="0.2">
      <c r="M4547" s="309"/>
      <c r="AB4547" s="310"/>
    </row>
    <row r="4548" spans="13:28" s="308" customFormat="1" x14ac:dyDescent="0.2">
      <c r="M4548" s="309"/>
      <c r="AB4548" s="310"/>
    </row>
    <row r="4549" spans="13:28" s="308" customFormat="1" x14ac:dyDescent="0.2">
      <c r="M4549" s="309"/>
      <c r="AB4549" s="310"/>
    </row>
    <row r="4550" spans="13:28" s="308" customFormat="1" x14ac:dyDescent="0.2">
      <c r="M4550" s="309"/>
      <c r="AB4550" s="310"/>
    </row>
    <row r="4551" spans="13:28" s="308" customFormat="1" x14ac:dyDescent="0.2">
      <c r="M4551" s="309"/>
      <c r="AB4551" s="310"/>
    </row>
    <row r="4552" spans="13:28" s="308" customFormat="1" x14ac:dyDescent="0.2">
      <c r="M4552" s="309"/>
      <c r="AB4552" s="310"/>
    </row>
    <row r="4553" spans="13:28" s="308" customFormat="1" x14ac:dyDescent="0.2">
      <c r="M4553" s="309"/>
      <c r="AB4553" s="310"/>
    </row>
    <row r="4554" spans="13:28" s="308" customFormat="1" x14ac:dyDescent="0.2">
      <c r="M4554" s="309"/>
      <c r="AB4554" s="310"/>
    </row>
    <row r="4555" spans="13:28" s="308" customFormat="1" x14ac:dyDescent="0.2">
      <c r="M4555" s="309"/>
      <c r="AB4555" s="310"/>
    </row>
    <row r="4556" spans="13:28" s="308" customFormat="1" x14ac:dyDescent="0.2">
      <c r="M4556" s="309"/>
      <c r="AB4556" s="310"/>
    </row>
    <row r="4557" spans="13:28" s="308" customFormat="1" x14ac:dyDescent="0.2">
      <c r="M4557" s="309"/>
      <c r="AB4557" s="310"/>
    </row>
    <row r="4558" spans="13:28" s="308" customFormat="1" x14ac:dyDescent="0.2">
      <c r="M4558" s="309"/>
      <c r="AB4558" s="310"/>
    </row>
    <row r="4559" spans="13:28" s="308" customFormat="1" x14ac:dyDescent="0.2">
      <c r="M4559" s="309"/>
      <c r="AB4559" s="310"/>
    </row>
    <row r="4560" spans="13:28" s="308" customFormat="1" x14ac:dyDescent="0.2">
      <c r="M4560" s="309"/>
      <c r="AB4560" s="310"/>
    </row>
    <row r="4561" spans="13:28" s="308" customFormat="1" x14ac:dyDescent="0.2">
      <c r="M4561" s="309"/>
      <c r="AB4561" s="310"/>
    </row>
    <row r="4562" spans="13:28" s="308" customFormat="1" x14ac:dyDescent="0.2">
      <c r="M4562" s="309"/>
      <c r="AB4562" s="310"/>
    </row>
    <row r="4563" spans="13:28" s="308" customFormat="1" x14ac:dyDescent="0.2">
      <c r="M4563" s="309"/>
      <c r="AB4563" s="310"/>
    </row>
    <row r="4564" spans="13:28" s="308" customFormat="1" x14ac:dyDescent="0.2">
      <c r="M4564" s="309"/>
      <c r="AB4564" s="310"/>
    </row>
    <row r="4565" spans="13:28" s="308" customFormat="1" x14ac:dyDescent="0.2">
      <c r="M4565" s="309"/>
      <c r="AB4565" s="310"/>
    </row>
    <row r="4566" spans="13:28" s="308" customFormat="1" x14ac:dyDescent="0.2">
      <c r="M4566" s="309"/>
      <c r="AB4566" s="310"/>
    </row>
    <row r="4567" spans="13:28" s="308" customFormat="1" x14ac:dyDescent="0.2">
      <c r="M4567" s="309"/>
      <c r="AB4567" s="310"/>
    </row>
    <row r="4568" spans="13:28" s="308" customFormat="1" x14ac:dyDescent="0.2">
      <c r="M4568" s="309"/>
      <c r="AB4568" s="310"/>
    </row>
    <row r="4569" spans="13:28" s="308" customFormat="1" x14ac:dyDescent="0.2">
      <c r="M4569" s="309"/>
      <c r="AB4569" s="310"/>
    </row>
    <row r="4570" spans="13:28" s="308" customFormat="1" x14ac:dyDescent="0.2">
      <c r="M4570" s="309"/>
      <c r="AB4570" s="310"/>
    </row>
    <row r="4571" spans="13:28" s="308" customFormat="1" x14ac:dyDescent="0.2">
      <c r="M4571" s="309"/>
      <c r="AB4571" s="310"/>
    </row>
    <row r="4572" spans="13:28" s="308" customFormat="1" x14ac:dyDescent="0.2">
      <c r="M4572" s="309"/>
      <c r="AB4572" s="310"/>
    </row>
    <row r="4573" spans="13:28" s="308" customFormat="1" x14ac:dyDescent="0.2">
      <c r="M4573" s="309"/>
      <c r="AB4573" s="310"/>
    </row>
    <row r="4574" spans="13:28" s="308" customFormat="1" x14ac:dyDescent="0.2">
      <c r="M4574" s="309"/>
      <c r="AB4574" s="310"/>
    </row>
    <row r="4575" spans="13:28" s="308" customFormat="1" x14ac:dyDescent="0.2">
      <c r="M4575" s="309"/>
      <c r="AB4575" s="310"/>
    </row>
    <row r="4576" spans="13:28" s="308" customFormat="1" x14ac:dyDescent="0.2">
      <c r="M4576" s="309"/>
      <c r="AB4576" s="310"/>
    </row>
    <row r="4577" spans="13:28" s="308" customFormat="1" x14ac:dyDescent="0.2">
      <c r="M4577" s="309"/>
      <c r="AB4577" s="310"/>
    </row>
    <row r="4578" spans="13:28" s="308" customFormat="1" x14ac:dyDescent="0.2">
      <c r="M4578" s="309"/>
      <c r="AB4578" s="310"/>
    </row>
    <row r="4579" spans="13:28" s="308" customFormat="1" x14ac:dyDescent="0.2">
      <c r="M4579" s="309"/>
      <c r="AB4579" s="310"/>
    </row>
    <row r="4580" spans="13:28" s="308" customFormat="1" x14ac:dyDescent="0.2">
      <c r="M4580" s="309"/>
      <c r="AB4580" s="310"/>
    </row>
    <row r="4581" spans="13:28" s="308" customFormat="1" x14ac:dyDescent="0.2">
      <c r="M4581" s="309"/>
      <c r="AB4581" s="310"/>
    </row>
    <row r="4582" spans="13:28" s="308" customFormat="1" x14ac:dyDescent="0.2">
      <c r="M4582" s="309"/>
      <c r="AB4582" s="310"/>
    </row>
    <row r="4583" spans="13:28" s="308" customFormat="1" x14ac:dyDescent="0.2">
      <c r="M4583" s="309"/>
      <c r="AB4583" s="310"/>
    </row>
    <row r="4584" spans="13:28" s="308" customFormat="1" x14ac:dyDescent="0.2">
      <c r="M4584" s="309"/>
      <c r="AB4584" s="310"/>
    </row>
    <row r="4585" spans="13:28" s="308" customFormat="1" x14ac:dyDescent="0.2">
      <c r="M4585" s="309"/>
      <c r="AB4585" s="310"/>
    </row>
    <row r="4586" spans="13:28" s="308" customFormat="1" x14ac:dyDescent="0.2">
      <c r="M4586" s="309"/>
      <c r="AB4586" s="310"/>
    </row>
    <row r="4587" spans="13:28" s="308" customFormat="1" x14ac:dyDescent="0.2">
      <c r="M4587" s="309"/>
      <c r="AB4587" s="310"/>
    </row>
    <row r="4588" spans="13:28" s="308" customFormat="1" x14ac:dyDescent="0.2">
      <c r="M4588" s="309"/>
      <c r="AB4588" s="310"/>
    </row>
    <row r="4589" spans="13:28" s="308" customFormat="1" x14ac:dyDescent="0.2">
      <c r="M4589" s="309"/>
      <c r="AB4589" s="310"/>
    </row>
    <row r="4590" spans="13:28" s="308" customFormat="1" x14ac:dyDescent="0.2">
      <c r="M4590" s="309"/>
      <c r="AB4590" s="310"/>
    </row>
    <row r="4591" spans="13:28" s="308" customFormat="1" x14ac:dyDescent="0.2">
      <c r="M4591" s="309"/>
      <c r="AB4591" s="310"/>
    </row>
    <row r="4592" spans="13:28" s="308" customFormat="1" x14ac:dyDescent="0.2">
      <c r="M4592" s="309"/>
      <c r="AB4592" s="310"/>
    </row>
    <row r="4593" spans="13:28" s="308" customFormat="1" x14ac:dyDescent="0.2">
      <c r="M4593" s="309"/>
      <c r="AB4593" s="310"/>
    </row>
    <row r="4594" spans="13:28" s="308" customFormat="1" x14ac:dyDescent="0.2">
      <c r="M4594" s="309"/>
      <c r="AB4594" s="310"/>
    </row>
    <row r="4595" spans="13:28" s="308" customFormat="1" x14ac:dyDescent="0.2">
      <c r="M4595" s="309"/>
      <c r="AB4595" s="310"/>
    </row>
    <row r="4596" spans="13:28" s="308" customFormat="1" x14ac:dyDescent="0.2">
      <c r="M4596" s="309"/>
      <c r="AB4596" s="310"/>
    </row>
    <row r="4597" spans="13:28" s="308" customFormat="1" x14ac:dyDescent="0.2">
      <c r="M4597" s="309"/>
      <c r="AB4597" s="310"/>
    </row>
    <row r="4598" spans="13:28" s="308" customFormat="1" x14ac:dyDescent="0.2">
      <c r="M4598" s="309"/>
      <c r="AB4598" s="310"/>
    </row>
    <row r="4599" spans="13:28" s="308" customFormat="1" x14ac:dyDescent="0.2">
      <c r="M4599" s="309"/>
      <c r="AB4599" s="310"/>
    </row>
    <row r="4600" spans="13:28" s="308" customFormat="1" x14ac:dyDescent="0.2">
      <c r="M4600" s="309"/>
      <c r="AB4600" s="310"/>
    </row>
    <row r="4601" spans="13:28" s="308" customFormat="1" x14ac:dyDescent="0.2">
      <c r="M4601" s="309"/>
      <c r="AB4601" s="310"/>
    </row>
    <row r="4602" spans="13:28" s="308" customFormat="1" x14ac:dyDescent="0.2">
      <c r="M4602" s="309"/>
      <c r="AB4602" s="310"/>
    </row>
    <row r="4603" spans="13:28" s="308" customFormat="1" x14ac:dyDescent="0.2">
      <c r="M4603" s="309"/>
      <c r="AB4603" s="310"/>
    </row>
    <row r="4604" spans="13:28" s="308" customFormat="1" x14ac:dyDescent="0.2">
      <c r="M4604" s="309"/>
      <c r="AB4604" s="310"/>
    </row>
    <row r="4605" spans="13:28" s="308" customFormat="1" x14ac:dyDescent="0.2">
      <c r="M4605" s="309"/>
      <c r="AB4605" s="310"/>
    </row>
    <row r="4606" spans="13:28" s="308" customFormat="1" x14ac:dyDescent="0.2">
      <c r="M4606" s="309"/>
      <c r="AB4606" s="310"/>
    </row>
    <row r="4607" spans="13:28" s="308" customFormat="1" x14ac:dyDescent="0.2">
      <c r="M4607" s="309"/>
      <c r="AB4607" s="310"/>
    </row>
    <row r="4608" spans="13:28" s="308" customFormat="1" x14ac:dyDescent="0.2">
      <c r="M4608" s="309"/>
      <c r="AB4608" s="310"/>
    </row>
    <row r="4609" spans="13:28" s="308" customFormat="1" x14ac:dyDescent="0.2">
      <c r="M4609" s="309"/>
      <c r="AB4609" s="310"/>
    </row>
    <row r="4610" spans="13:28" s="308" customFormat="1" x14ac:dyDescent="0.2">
      <c r="M4610" s="309"/>
      <c r="AB4610" s="310"/>
    </row>
    <row r="4611" spans="13:28" s="308" customFormat="1" x14ac:dyDescent="0.2">
      <c r="M4611" s="309"/>
      <c r="AB4611" s="310"/>
    </row>
    <row r="4612" spans="13:28" s="308" customFormat="1" x14ac:dyDescent="0.2">
      <c r="M4612" s="309"/>
      <c r="AB4612" s="310"/>
    </row>
    <row r="4613" spans="13:28" s="308" customFormat="1" x14ac:dyDescent="0.2">
      <c r="M4613" s="309"/>
      <c r="AB4613" s="310"/>
    </row>
    <row r="4614" spans="13:28" s="308" customFormat="1" x14ac:dyDescent="0.2">
      <c r="M4614" s="309"/>
      <c r="AB4614" s="310"/>
    </row>
    <row r="4615" spans="13:28" s="308" customFormat="1" x14ac:dyDescent="0.2">
      <c r="M4615" s="309"/>
      <c r="AB4615" s="310"/>
    </row>
    <row r="4616" spans="13:28" s="308" customFormat="1" x14ac:dyDescent="0.2">
      <c r="M4616" s="309"/>
      <c r="AB4616" s="310"/>
    </row>
    <row r="4617" spans="13:28" s="308" customFormat="1" x14ac:dyDescent="0.2">
      <c r="M4617" s="309"/>
      <c r="AB4617" s="310"/>
    </row>
    <row r="4618" spans="13:28" s="308" customFormat="1" x14ac:dyDescent="0.2">
      <c r="M4618" s="309"/>
      <c r="AB4618" s="310"/>
    </row>
    <row r="4619" spans="13:28" s="308" customFormat="1" x14ac:dyDescent="0.2">
      <c r="M4619" s="309"/>
      <c r="AB4619" s="310"/>
    </row>
    <row r="4620" spans="13:28" s="308" customFormat="1" x14ac:dyDescent="0.2">
      <c r="M4620" s="309"/>
      <c r="AB4620" s="310"/>
    </row>
    <row r="4621" spans="13:28" s="308" customFormat="1" x14ac:dyDescent="0.2">
      <c r="M4621" s="309"/>
      <c r="AB4621" s="310"/>
    </row>
    <row r="4622" spans="13:28" s="308" customFormat="1" x14ac:dyDescent="0.2">
      <c r="M4622" s="309"/>
      <c r="AB4622" s="310"/>
    </row>
    <row r="4623" spans="13:28" s="308" customFormat="1" x14ac:dyDescent="0.2">
      <c r="M4623" s="309"/>
      <c r="AB4623" s="310"/>
    </row>
    <row r="4624" spans="13:28" s="308" customFormat="1" x14ac:dyDescent="0.2">
      <c r="M4624" s="309"/>
      <c r="AB4624" s="310"/>
    </row>
    <row r="4625" spans="13:28" s="308" customFormat="1" x14ac:dyDescent="0.2">
      <c r="M4625" s="309"/>
      <c r="AB4625" s="310"/>
    </row>
    <row r="4626" spans="13:28" s="308" customFormat="1" x14ac:dyDescent="0.2">
      <c r="M4626" s="309"/>
      <c r="AB4626" s="310"/>
    </row>
    <row r="4627" spans="13:28" s="308" customFormat="1" x14ac:dyDescent="0.2">
      <c r="M4627" s="309"/>
      <c r="AB4627" s="310"/>
    </row>
    <row r="4628" spans="13:28" s="308" customFormat="1" x14ac:dyDescent="0.2">
      <c r="M4628" s="309"/>
      <c r="AB4628" s="310"/>
    </row>
    <row r="4629" spans="13:28" s="308" customFormat="1" x14ac:dyDescent="0.2">
      <c r="M4629" s="309"/>
      <c r="AB4629" s="310"/>
    </row>
    <row r="4630" spans="13:28" s="308" customFormat="1" x14ac:dyDescent="0.2">
      <c r="M4630" s="309"/>
      <c r="AB4630" s="310"/>
    </row>
    <row r="4631" spans="13:28" s="308" customFormat="1" x14ac:dyDescent="0.2">
      <c r="M4631" s="309"/>
      <c r="AB4631" s="310"/>
    </row>
    <row r="4632" spans="13:28" s="308" customFormat="1" x14ac:dyDescent="0.2">
      <c r="M4632" s="309"/>
      <c r="AB4632" s="310"/>
    </row>
    <row r="4633" spans="13:28" s="308" customFormat="1" x14ac:dyDescent="0.2">
      <c r="M4633" s="309"/>
      <c r="AB4633" s="310"/>
    </row>
    <row r="4634" spans="13:28" s="308" customFormat="1" x14ac:dyDescent="0.2">
      <c r="M4634" s="309"/>
      <c r="AB4634" s="310"/>
    </row>
    <row r="4635" spans="13:28" s="308" customFormat="1" x14ac:dyDescent="0.2">
      <c r="M4635" s="309"/>
      <c r="AB4635" s="310"/>
    </row>
    <row r="4636" spans="13:28" s="308" customFormat="1" x14ac:dyDescent="0.2">
      <c r="M4636" s="309"/>
      <c r="AB4636" s="310"/>
    </row>
    <row r="4637" spans="13:28" s="308" customFormat="1" x14ac:dyDescent="0.2">
      <c r="M4637" s="309"/>
      <c r="AB4637" s="310"/>
    </row>
    <row r="4638" spans="13:28" s="308" customFormat="1" x14ac:dyDescent="0.2">
      <c r="M4638" s="309"/>
      <c r="AB4638" s="310"/>
    </row>
    <row r="4639" spans="13:28" s="308" customFormat="1" x14ac:dyDescent="0.2">
      <c r="M4639" s="309"/>
      <c r="AB4639" s="310"/>
    </row>
    <row r="4640" spans="13:28" s="308" customFormat="1" x14ac:dyDescent="0.2">
      <c r="M4640" s="309"/>
      <c r="AB4640" s="310"/>
    </row>
    <row r="4641" spans="13:28" s="308" customFormat="1" x14ac:dyDescent="0.2">
      <c r="M4641" s="309"/>
      <c r="AB4641" s="310"/>
    </row>
    <row r="4642" spans="13:28" s="308" customFormat="1" x14ac:dyDescent="0.2">
      <c r="M4642" s="309"/>
      <c r="AB4642" s="310"/>
    </row>
    <row r="4643" spans="13:28" s="308" customFormat="1" x14ac:dyDescent="0.2">
      <c r="M4643" s="309"/>
      <c r="AB4643" s="310"/>
    </row>
    <row r="4644" spans="13:28" s="308" customFormat="1" x14ac:dyDescent="0.2">
      <c r="M4644" s="309"/>
      <c r="AB4644" s="310"/>
    </row>
    <row r="4645" spans="13:28" s="308" customFormat="1" x14ac:dyDescent="0.2">
      <c r="M4645" s="309"/>
      <c r="AB4645" s="310"/>
    </row>
    <row r="4646" spans="13:28" s="308" customFormat="1" x14ac:dyDescent="0.2">
      <c r="M4646" s="309"/>
      <c r="AB4646" s="310"/>
    </row>
    <row r="4647" spans="13:28" s="308" customFormat="1" x14ac:dyDescent="0.2">
      <c r="M4647" s="309"/>
      <c r="AB4647" s="310"/>
    </row>
    <row r="4648" spans="13:28" s="308" customFormat="1" x14ac:dyDescent="0.2">
      <c r="M4648" s="309"/>
      <c r="AB4648" s="310"/>
    </row>
    <row r="4649" spans="13:28" s="308" customFormat="1" x14ac:dyDescent="0.2">
      <c r="M4649" s="309"/>
      <c r="AB4649" s="310"/>
    </row>
    <row r="4650" spans="13:28" s="308" customFormat="1" x14ac:dyDescent="0.2">
      <c r="M4650" s="309"/>
      <c r="AB4650" s="310"/>
    </row>
    <row r="4651" spans="13:28" s="308" customFormat="1" x14ac:dyDescent="0.2">
      <c r="M4651" s="309"/>
      <c r="AB4651" s="310"/>
    </row>
    <row r="4652" spans="13:28" s="308" customFormat="1" x14ac:dyDescent="0.2">
      <c r="M4652" s="309"/>
      <c r="AB4652" s="310"/>
    </row>
    <row r="4653" spans="13:28" s="308" customFormat="1" x14ac:dyDescent="0.2">
      <c r="M4653" s="309"/>
      <c r="AB4653" s="310"/>
    </row>
    <row r="4654" spans="13:28" s="308" customFormat="1" x14ac:dyDescent="0.2">
      <c r="M4654" s="309"/>
      <c r="AB4654" s="310"/>
    </row>
    <row r="4655" spans="13:28" s="308" customFormat="1" x14ac:dyDescent="0.2">
      <c r="M4655" s="309"/>
      <c r="AB4655" s="310"/>
    </row>
    <row r="4656" spans="13:28" s="308" customFormat="1" x14ac:dyDescent="0.2">
      <c r="M4656" s="309"/>
      <c r="AB4656" s="310"/>
    </row>
    <row r="4657" spans="13:28" s="308" customFormat="1" x14ac:dyDescent="0.2">
      <c r="M4657" s="309"/>
      <c r="AB4657" s="310"/>
    </row>
    <row r="4658" spans="13:28" s="308" customFormat="1" x14ac:dyDescent="0.2">
      <c r="M4658" s="309"/>
      <c r="AB4658" s="310"/>
    </row>
    <row r="4659" spans="13:28" s="308" customFormat="1" x14ac:dyDescent="0.2">
      <c r="M4659" s="309"/>
      <c r="AB4659" s="310"/>
    </row>
    <row r="4660" spans="13:28" s="308" customFormat="1" x14ac:dyDescent="0.2">
      <c r="M4660" s="309"/>
      <c r="AB4660" s="310"/>
    </row>
    <row r="4661" spans="13:28" s="308" customFormat="1" x14ac:dyDescent="0.2">
      <c r="M4661" s="309"/>
      <c r="AB4661" s="310"/>
    </row>
    <row r="4662" spans="13:28" s="308" customFormat="1" x14ac:dyDescent="0.2">
      <c r="M4662" s="309"/>
      <c r="AB4662" s="310"/>
    </row>
    <row r="4663" spans="13:28" s="308" customFormat="1" x14ac:dyDescent="0.2">
      <c r="M4663" s="309"/>
      <c r="AB4663" s="310"/>
    </row>
    <row r="4664" spans="13:28" s="308" customFormat="1" x14ac:dyDescent="0.2">
      <c r="M4664" s="309"/>
      <c r="AB4664" s="310"/>
    </row>
    <row r="4665" spans="13:28" s="308" customFormat="1" x14ac:dyDescent="0.2">
      <c r="M4665" s="309"/>
      <c r="AB4665" s="310"/>
    </row>
    <row r="4666" spans="13:28" s="308" customFormat="1" x14ac:dyDescent="0.2">
      <c r="M4666" s="309"/>
      <c r="AB4666" s="310"/>
    </row>
    <row r="4667" spans="13:28" s="308" customFormat="1" x14ac:dyDescent="0.2">
      <c r="M4667" s="309"/>
      <c r="AB4667" s="310"/>
    </row>
    <row r="4668" spans="13:28" s="308" customFormat="1" x14ac:dyDescent="0.2">
      <c r="M4668" s="309"/>
      <c r="AB4668" s="310"/>
    </row>
    <row r="4669" spans="13:28" s="308" customFormat="1" x14ac:dyDescent="0.2">
      <c r="M4669" s="309"/>
      <c r="AB4669" s="310"/>
    </row>
    <row r="4670" spans="13:28" s="308" customFormat="1" x14ac:dyDescent="0.2">
      <c r="M4670" s="309"/>
      <c r="AB4670" s="310"/>
    </row>
    <row r="4671" spans="13:28" s="308" customFormat="1" x14ac:dyDescent="0.2">
      <c r="M4671" s="309"/>
      <c r="AB4671" s="310"/>
    </row>
    <row r="4672" spans="13:28" s="308" customFormat="1" x14ac:dyDescent="0.2">
      <c r="M4672" s="309"/>
      <c r="AB4672" s="310"/>
    </row>
    <row r="4673" spans="13:28" s="308" customFormat="1" x14ac:dyDescent="0.2">
      <c r="M4673" s="309"/>
      <c r="AB4673" s="310"/>
    </row>
    <row r="4674" spans="13:28" s="308" customFormat="1" x14ac:dyDescent="0.2">
      <c r="M4674" s="309"/>
      <c r="AB4674" s="310"/>
    </row>
    <row r="4675" spans="13:28" s="308" customFormat="1" x14ac:dyDescent="0.2">
      <c r="M4675" s="309"/>
      <c r="AB4675" s="310"/>
    </row>
    <row r="4676" spans="13:28" s="308" customFormat="1" x14ac:dyDescent="0.2">
      <c r="M4676" s="309"/>
      <c r="AB4676" s="310"/>
    </row>
    <row r="4677" spans="13:28" s="308" customFormat="1" x14ac:dyDescent="0.2">
      <c r="M4677" s="309"/>
      <c r="AB4677" s="310"/>
    </row>
    <row r="4678" spans="13:28" s="308" customFormat="1" x14ac:dyDescent="0.2">
      <c r="M4678" s="309"/>
      <c r="AB4678" s="310"/>
    </row>
    <row r="4679" spans="13:28" s="308" customFormat="1" x14ac:dyDescent="0.2">
      <c r="M4679" s="309"/>
      <c r="AB4679" s="310"/>
    </row>
    <row r="4680" spans="13:28" s="308" customFormat="1" x14ac:dyDescent="0.2">
      <c r="M4680" s="309"/>
      <c r="AB4680" s="310"/>
    </row>
    <row r="4681" spans="13:28" s="308" customFormat="1" x14ac:dyDescent="0.2">
      <c r="M4681" s="309"/>
      <c r="AB4681" s="310"/>
    </row>
    <row r="4682" spans="13:28" s="308" customFormat="1" x14ac:dyDescent="0.2">
      <c r="M4682" s="309"/>
      <c r="AB4682" s="310"/>
    </row>
    <row r="4683" spans="13:28" s="308" customFormat="1" x14ac:dyDescent="0.2">
      <c r="M4683" s="309"/>
      <c r="AB4683" s="310"/>
    </row>
    <row r="4684" spans="13:28" s="308" customFormat="1" x14ac:dyDescent="0.2">
      <c r="M4684" s="309"/>
      <c r="AB4684" s="310"/>
    </row>
    <row r="4685" spans="13:28" s="308" customFormat="1" x14ac:dyDescent="0.2">
      <c r="M4685" s="309"/>
      <c r="AB4685" s="310"/>
    </row>
    <row r="4686" spans="13:28" s="308" customFormat="1" x14ac:dyDescent="0.2">
      <c r="M4686" s="309"/>
      <c r="AB4686" s="310"/>
    </row>
    <row r="4687" spans="13:28" s="308" customFormat="1" x14ac:dyDescent="0.2">
      <c r="M4687" s="309"/>
      <c r="AB4687" s="310"/>
    </row>
    <row r="4688" spans="13:28" s="308" customFormat="1" x14ac:dyDescent="0.2">
      <c r="M4688" s="309"/>
      <c r="AB4688" s="310"/>
    </row>
    <row r="4689" spans="13:28" s="308" customFormat="1" x14ac:dyDescent="0.2">
      <c r="M4689" s="309"/>
      <c r="AB4689" s="310"/>
    </row>
    <row r="4690" spans="13:28" s="308" customFormat="1" x14ac:dyDescent="0.2">
      <c r="M4690" s="309"/>
      <c r="AB4690" s="310"/>
    </row>
    <row r="4691" spans="13:28" s="308" customFormat="1" x14ac:dyDescent="0.2">
      <c r="M4691" s="309"/>
      <c r="AB4691" s="310"/>
    </row>
    <row r="4692" spans="13:28" s="308" customFormat="1" x14ac:dyDescent="0.2">
      <c r="M4692" s="309"/>
      <c r="AB4692" s="310"/>
    </row>
    <row r="4693" spans="13:28" s="308" customFormat="1" x14ac:dyDescent="0.2">
      <c r="M4693" s="309"/>
      <c r="AB4693" s="310"/>
    </row>
    <row r="4694" spans="13:28" s="308" customFormat="1" x14ac:dyDescent="0.2">
      <c r="M4694" s="309"/>
      <c r="AB4694" s="310"/>
    </row>
    <row r="4695" spans="13:28" s="308" customFormat="1" x14ac:dyDescent="0.2">
      <c r="M4695" s="309"/>
      <c r="AB4695" s="310"/>
    </row>
    <row r="4696" spans="13:28" s="308" customFormat="1" x14ac:dyDescent="0.2">
      <c r="M4696" s="309"/>
      <c r="AB4696" s="310"/>
    </row>
    <row r="4697" spans="13:28" s="308" customFormat="1" x14ac:dyDescent="0.2">
      <c r="M4697" s="309"/>
      <c r="AB4697" s="310"/>
    </row>
    <row r="4698" spans="13:28" s="308" customFormat="1" x14ac:dyDescent="0.2">
      <c r="M4698" s="309"/>
      <c r="AB4698" s="310"/>
    </row>
    <row r="4699" spans="13:28" s="308" customFormat="1" x14ac:dyDescent="0.2">
      <c r="M4699" s="309"/>
      <c r="AB4699" s="310"/>
    </row>
    <row r="4700" spans="13:28" s="308" customFormat="1" x14ac:dyDescent="0.2">
      <c r="M4700" s="309"/>
      <c r="AB4700" s="310"/>
    </row>
    <row r="4701" spans="13:28" s="308" customFormat="1" x14ac:dyDescent="0.2">
      <c r="M4701" s="309"/>
      <c r="AB4701" s="310"/>
    </row>
    <row r="4702" spans="13:28" s="308" customFormat="1" x14ac:dyDescent="0.2">
      <c r="M4702" s="309"/>
      <c r="AB4702" s="310"/>
    </row>
    <row r="4703" spans="13:28" s="308" customFormat="1" x14ac:dyDescent="0.2">
      <c r="M4703" s="309"/>
      <c r="AB4703" s="310"/>
    </row>
    <row r="4704" spans="13:28" s="308" customFormat="1" x14ac:dyDescent="0.2">
      <c r="M4704" s="309"/>
      <c r="AB4704" s="310"/>
    </row>
    <row r="4705" spans="13:28" s="308" customFormat="1" x14ac:dyDescent="0.2">
      <c r="M4705" s="309"/>
      <c r="AB4705" s="310"/>
    </row>
    <row r="4706" spans="13:28" s="308" customFormat="1" x14ac:dyDescent="0.2">
      <c r="M4706" s="309"/>
      <c r="AB4706" s="310"/>
    </row>
    <row r="4707" spans="13:28" s="308" customFormat="1" x14ac:dyDescent="0.2">
      <c r="M4707" s="309"/>
      <c r="AB4707" s="310"/>
    </row>
    <row r="4708" spans="13:28" s="308" customFormat="1" x14ac:dyDescent="0.2">
      <c r="M4708" s="309"/>
      <c r="AB4708" s="310"/>
    </row>
    <row r="4709" spans="13:28" s="308" customFormat="1" x14ac:dyDescent="0.2">
      <c r="M4709" s="309"/>
      <c r="AB4709" s="310"/>
    </row>
    <row r="4710" spans="13:28" s="308" customFormat="1" x14ac:dyDescent="0.2">
      <c r="M4710" s="309"/>
      <c r="AB4710" s="310"/>
    </row>
    <row r="4711" spans="13:28" s="308" customFormat="1" x14ac:dyDescent="0.2">
      <c r="M4711" s="309"/>
      <c r="AB4711" s="310"/>
    </row>
    <row r="4712" spans="13:28" s="308" customFormat="1" x14ac:dyDescent="0.2">
      <c r="M4712" s="309"/>
      <c r="AB4712" s="310"/>
    </row>
    <row r="4713" spans="13:28" s="308" customFormat="1" x14ac:dyDescent="0.2">
      <c r="M4713" s="309"/>
      <c r="AB4713" s="310"/>
    </row>
    <row r="4714" spans="13:28" s="308" customFormat="1" x14ac:dyDescent="0.2">
      <c r="M4714" s="309"/>
      <c r="AB4714" s="310"/>
    </row>
    <row r="4715" spans="13:28" s="308" customFormat="1" x14ac:dyDescent="0.2">
      <c r="M4715" s="309"/>
      <c r="AB4715" s="310"/>
    </row>
    <row r="4716" spans="13:28" s="308" customFormat="1" x14ac:dyDescent="0.2">
      <c r="M4716" s="309"/>
      <c r="AB4716" s="310"/>
    </row>
    <row r="4717" spans="13:28" s="308" customFormat="1" x14ac:dyDescent="0.2">
      <c r="M4717" s="309"/>
      <c r="AB4717" s="310"/>
    </row>
    <row r="4718" spans="13:28" s="308" customFormat="1" x14ac:dyDescent="0.2">
      <c r="M4718" s="309"/>
      <c r="AB4718" s="310"/>
    </row>
    <row r="4719" spans="13:28" s="308" customFormat="1" x14ac:dyDescent="0.2">
      <c r="M4719" s="309"/>
      <c r="AB4719" s="310"/>
    </row>
    <row r="4720" spans="13:28" s="308" customFormat="1" x14ac:dyDescent="0.2">
      <c r="M4720" s="309"/>
      <c r="AB4720" s="310"/>
    </row>
    <row r="4721" spans="13:28" s="308" customFormat="1" x14ac:dyDescent="0.2">
      <c r="M4721" s="309"/>
      <c r="AB4721" s="310"/>
    </row>
    <row r="4722" spans="13:28" s="308" customFormat="1" x14ac:dyDescent="0.2">
      <c r="M4722" s="309"/>
      <c r="AB4722" s="310"/>
    </row>
    <row r="4723" spans="13:28" s="308" customFormat="1" x14ac:dyDescent="0.2">
      <c r="M4723" s="309"/>
      <c r="AB4723" s="310"/>
    </row>
    <row r="4724" spans="13:28" s="308" customFormat="1" x14ac:dyDescent="0.2">
      <c r="M4724" s="309"/>
      <c r="AB4724" s="310"/>
    </row>
    <row r="4725" spans="13:28" s="308" customFormat="1" x14ac:dyDescent="0.2">
      <c r="M4725" s="309"/>
      <c r="AB4725" s="310"/>
    </row>
    <row r="4726" spans="13:28" s="308" customFormat="1" x14ac:dyDescent="0.2">
      <c r="M4726" s="309"/>
      <c r="AB4726" s="310"/>
    </row>
    <row r="4727" spans="13:28" s="308" customFormat="1" x14ac:dyDescent="0.2">
      <c r="M4727" s="309"/>
      <c r="AB4727" s="310"/>
    </row>
    <row r="4728" spans="13:28" s="308" customFormat="1" x14ac:dyDescent="0.2">
      <c r="M4728" s="309"/>
      <c r="AB4728" s="310"/>
    </row>
    <row r="4729" spans="13:28" s="308" customFormat="1" x14ac:dyDescent="0.2">
      <c r="M4729" s="309"/>
      <c r="AB4729" s="310"/>
    </row>
    <row r="4730" spans="13:28" s="308" customFormat="1" x14ac:dyDescent="0.2">
      <c r="M4730" s="309"/>
      <c r="AB4730" s="310"/>
    </row>
    <row r="4731" spans="13:28" s="308" customFormat="1" x14ac:dyDescent="0.2">
      <c r="M4731" s="309"/>
      <c r="AB4731" s="310"/>
    </row>
    <row r="4732" spans="13:28" s="308" customFormat="1" x14ac:dyDescent="0.2">
      <c r="M4732" s="309"/>
      <c r="AB4732" s="310"/>
    </row>
    <row r="4733" spans="13:28" s="308" customFormat="1" x14ac:dyDescent="0.2">
      <c r="M4733" s="309"/>
      <c r="AB4733" s="310"/>
    </row>
    <row r="4734" spans="13:28" s="308" customFormat="1" x14ac:dyDescent="0.2">
      <c r="M4734" s="309"/>
      <c r="AB4734" s="310"/>
    </row>
    <row r="4735" spans="13:28" s="308" customFormat="1" x14ac:dyDescent="0.2">
      <c r="M4735" s="309"/>
      <c r="AB4735" s="310"/>
    </row>
    <row r="4736" spans="13:28" s="308" customFormat="1" x14ac:dyDescent="0.2">
      <c r="M4736" s="309"/>
      <c r="AB4736" s="310"/>
    </row>
    <row r="4737" spans="13:28" s="308" customFormat="1" x14ac:dyDescent="0.2">
      <c r="M4737" s="309"/>
      <c r="AB4737" s="310"/>
    </row>
    <row r="4738" spans="13:28" s="308" customFormat="1" x14ac:dyDescent="0.2">
      <c r="M4738" s="309"/>
      <c r="AB4738" s="310"/>
    </row>
    <row r="4739" spans="13:28" s="308" customFormat="1" x14ac:dyDescent="0.2">
      <c r="M4739" s="309"/>
      <c r="AB4739" s="310"/>
    </row>
    <row r="4740" spans="13:28" s="308" customFormat="1" x14ac:dyDescent="0.2">
      <c r="M4740" s="309"/>
      <c r="AB4740" s="310"/>
    </row>
    <row r="4741" spans="13:28" s="308" customFormat="1" x14ac:dyDescent="0.2">
      <c r="M4741" s="309"/>
      <c r="AB4741" s="310"/>
    </row>
    <row r="4742" spans="13:28" s="308" customFormat="1" x14ac:dyDescent="0.2">
      <c r="M4742" s="309"/>
      <c r="AB4742" s="310"/>
    </row>
    <row r="4743" spans="13:28" s="308" customFormat="1" x14ac:dyDescent="0.2">
      <c r="M4743" s="309"/>
      <c r="AB4743" s="310"/>
    </row>
    <row r="4744" spans="13:28" s="308" customFormat="1" x14ac:dyDescent="0.2">
      <c r="M4744" s="309"/>
      <c r="AB4744" s="310"/>
    </row>
    <row r="4745" spans="13:28" s="308" customFormat="1" x14ac:dyDescent="0.2">
      <c r="M4745" s="309"/>
      <c r="AB4745" s="310"/>
    </row>
    <row r="4746" spans="13:28" s="308" customFormat="1" x14ac:dyDescent="0.2">
      <c r="M4746" s="309"/>
      <c r="AB4746" s="310"/>
    </row>
    <row r="4747" spans="13:28" s="308" customFormat="1" x14ac:dyDescent="0.2">
      <c r="M4747" s="309"/>
      <c r="AB4747" s="310"/>
    </row>
    <row r="4748" spans="13:28" s="308" customFormat="1" x14ac:dyDescent="0.2">
      <c r="M4748" s="309"/>
      <c r="AB4748" s="310"/>
    </row>
    <row r="4749" spans="13:28" s="308" customFormat="1" x14ac:dyDescent="0.2">
      <c r="M4749" s="309"/>
      <c r="AB4749" s="310"/>
    </row>
    <row r="4750" spans="13:28" s="308" customFormat="1" x14ac:dyDescent="0.2">
      <c r="M4750" s="309"/>
      <c r="AB4750" s="310"/>
    </row>
    <row r="4751" spans="13:28" s="308" customFormat="1" x14ac:dyDescent="0.2">
      <c r="M4751" s="309"/>
      <c r="AB4751" s="310"/>
    </row>
    <row r="4752" spans="13:28" s="308" customFormat="1" x14ac:dyDescent="0.2">
      <c r="M4752" s="309"/>
      <c r="AB4752" s="310"/>
    </row>
    <row r="4753" spans="13:28" s="308" customFormat="1" x14ac:dyDescent="0.2">
      <c r="M4753" s="309"/>
      <c r="AB4753" s="310"/>
    </row>
    <row r="4754" spans="13:28" s="308" customFormat="1" x14ac:dyDescent="0.2">
      <c r="M4754" s="309"/>
      <c r="AB4754" s="310"/>
    </row>
    <row r="4755" spans="13:28" s="308" customFormat="1" x14ac:dyDescent="0.2">
      <c r="M4755" s="309"/>
      <c r="AB4755" s="310"/>
    </row>
    <row r="4756" spans="13:28" s="308" customFormat="1" x14ac:dyDescent="0.2">
      <c r="M4756" s="309"/>
      <c r="AB4756" s="310"/>
    </row>
    <row r="4757" spans="13:28" s="308" customFormat="1" x14ac:dyDescent="0.2">
      <c r="M4757" s="309"/>
      <c r="AB4757" s="310"/>
    </row>
    <row r="4758" spans="13:28" s="308" customFormat="1" x14ac:dyDescent="0.2">
      <c r="M4758" s="309"/>
      <c r="AB4758" s="310"/>
    </row>
    <row r="4759" spans="13:28" s="308" customFormat="1" x14ac:dyDescent="0.2">
      <c r="M4759" s="309"/>
      <c r="AB4759" s="310"/>
    </row>
    <row r="4760" spans="13:28" s="308" customFormat="1" x14ac:dyDescent="0.2">
      <c r="M4760" s="309"/>
      <c r="AB4760" s="310"/>
    </row>
    <row r="4761" spans="13:28" s="308" customFormat="1" x14ac:dyDescent="0.2">
      <c r="M4761" s="309"/>
      <c r="AB4761" s="310"/>
    </row>
    <row r="4762" spans="13:28" s="308" customFormat="1" x14ac:dyDescent="0.2">
      <c r="M4762" s="309"/>
      <c r="AB4762" s="310"/>
    </row>
    <row r="4763" spans="13:28" s="308" customFormat="1" x14ac:dyDescent="0.2">
      <c r="M4763" s="309"/>
      <c r="AB4763" s="310"/>
    </row>
    <row r="4764" spans="13:28" s="308" customFormat="1" x14ac:dyDescent="0.2">
      <c r="M4764" s="309"/>
      <c r="AB4764" s="310"/>
    </row>
    <row r="4765" spans="13:28" s="308" customFormat="1" x14ac:dyDescent="0.2">
      <c r="M4765" s="309"/>
      <c r="AB4765" s="310"/>
    </row>
    <row r="4766" spans="13:28" s="308" customFormat="1" x14ac:dyDescent="0.2">
      <c r="M4766" s="309"/>
      <c r="AB4766" s="310"/>
    </row>
    <row r="4767" spans="13:28" s="308" customFormat="1" x14ac:dyDescent="0.2">
      <c r="M4767" s="309"/>
      <c r="AB4767" s="310"/>
    </row>
    <row r="4768" spans="13:28" s="308" customFormat="1" x14ac:dyDescent="0.2">
      <c r="M4768" s="309"/>
      <c r="AB4768" s="310"/>
    </row>
    <row r="4769" spans="13:28" s="308" customFormat="1" x14ac:dyDescent="0.2">
      <c r="M4769" s="309"/>
      <c r="AB4769" s="310"/>
    </row>
    <row r="4770" spans="13:28" s="308" customFormat="1" x14ac:dyDescent="0.2">
      <c r="M4770" s="309"/>
      <c r="AB4770" s="310"/>
    </row>
    <row r="4771" spans="13:28" s="308" customFormat="1" x14ac:dyDescent="0.2">
      <c r="M4771" s="309"/>
      <c r="AB4771" s="310"/>
    </row>
    <row r="4772" spans="13:28" s="308" customFormat="1" x14ac:dyDescent="0.2">
      <c r="M4772" s="309"/>
      <c r="AB4772" s="310"/>
    </row>
    <row r="4773" spans="13:28" s="308" customFormat="1" x14ac:dyDescent="0.2">
      <c r="M4773" s="309"/>
      <c r="AB4773" s="310"/>
    </row>
    <row r="4774" spans="13:28" s="308" customFormat="1" x14ac:dyDescent="0.2">
      <c r="M4774" s="309"/>
      <c r="AB4774" s="310"/>
    </row>
    <row r="4775" spans="13:28" s="308" customFormat="1" x14ac:dyDescent="0.2">
      <c r="M4775" s="309"/>
      <c r="AB4775" s="310"/>
    </row>
    <row r="4776" spans="13:28" s="308" customFormat="1" x14ac:dyDescent="0.2">
      <c r="M4776" s="309"/>
      <c r="AB4776" s="310"/>
    </row>
    <row r="4777" spans="13:28" s="308" customFormat="1" x14ac:dyDescent="0.2">
      <c r="M4777" s="309"/>
      <c r="AB4777" s="310"/>
    </row>
    <row r="4778" spans="13:28" s="308" customFormat="1" x14ac:dyDescent="0.2">
      <c r="M4778" s="309"/>
      <c r="AB4778" s="310"/>
    </row>
    <row r="4779" spans="13:28" s="308" customFormat="1" x14ac:dyDescent="0.2">
      <c r="M4779" s="309"/>
      <c r="AB4779" s="310"/>
    </row>
    <row r="4780" spans="13:28" s="308" customFormat="1" x14ac:dyDescent="0.2">
      <c r="M4780" s="309"/>
      <c r="AB4780" s="310"/>
    </row>
    <row r="4781" spans="13:28" s="308" customFormat="1" x14ac:dyDescent="0.2">
      <c r="M4781" s="309"/>
      <c r="AB4781" s="310"/>
    </row>
    <row r="4782" spans="13:28" s="308" customFormat="1" x14ac:dyDescent="0.2">
      <c r="M4782" s="309"/>
      <c r="AB4782" s="310"/>
    </row>
    <row r="4783" spans="13:28" s="308" customFormat="1" x14ac:dyDescent="0.2">
      <c r="M4783" s="309"/>
      <c r="AB4783" s="310"/>
    </row>
    <row r="4784" spans="13:28" s="308" customFormat="1" x14ac:dyDescent="0.2">
      <c r="M4784" s="309"/>
      <c r="AB4784" s="310"/>
    </row>
    <row r="4785" spans="13:28" s="308" customFormat="1" x14ac:dyDescent="0.2">
      <c r="M4785" s="309"/>
      <c r="AB4785" s="310"/>
    </row>
    <row r="4786" spans="13:28" s="308" customFormat="1" x14ac:dyDescent="0.2">
      <c r="M4786" s="309"/>
      <c r="AB4786" s="310"/>
    </row>
    <row r="4787" spans="13:28" s="308" customFormat="1" x14ac:dyDescent="0.2">
      <c r="M4787" s="309"/>
      <c r="AB4787" s="310"/>
    </row>
    <row r="4788" spans="13:28" s="308" customFormat="1" x14ac:dyDescent="0.2">
      <c r="M4788" s="309"/>
      <c r="AB4788" s="310"/>
    </row>
    <row r="4789" spans="13:28" s="308" customFormat="1" x14ac:dyDescent="0.2">
      <c r="M4789" s="309"/>
      <c r="AB4789" s="310"/>
    </row>
    <row r="4790" spans="13:28" s="308" customFormat="1" x14ac:dyDescent="0.2">
      <c r="M4790" s="309"/>
      <c r="AB4790" s="310"/>
    </row>
    <row r="4791" spans="13:28" s="308" customFormat="1" x14ac:dyDescent="0.2">
      <c r="M4791" s="309"/>
      <c r="AB4791" s="310"/>
    </row>
    <row r="4792" spans="13:28" s="308" customFormat="1" x14ac:dyDescent="0.2">
      <c r="M4792" s="309"/>
      <c r="AB4792" s="310"/>
    </row>
    <row r="4793" spans="13:28" s="308" customFormat="1" x14ac:dyDescent="0.2">
      <c r="M4793" s="309"/>
      <c r="AB4793" s="310"/>
    </row>
    <row r="4794" spans="13:28" s="308" customFormat="1" x14ac:dyDescent="0.2">
      <c r="M4794" s="309"/>
      <c r="AB4794" s="310"/>
    </row>
    <row r="4795" spans="13:28" s="308" customFormat="1" x14ac:dyDescent="0.2">
      <c r="M4795" s="309"/>
      <c r="AB4795" s="310"/>
    </row>
    <row r="4796" spans="13:28" s="308" customFormat="1" x14ac:dyDescent="0.2">
      <c r="M4796" s="309"/>
      <c r="AB4796" s="310"/>
    </row>
    <row r="4797" spans="13:28" s="308" customFormat="1" x14ac:dyDescent="0.2">
      <c r="M4797" s="309"/>
      <c r="AB4797" s="310"/>
    </row>
    <row r="4798" spans="13:28" s="308" customFormat="1" x14ac:dyDescent="0.2">
      <c r="M4798" s="309"/>
      <c r="AB4798" s="310"/>
    </row>
    <row r="4799" spans="13:28" s="308" customFormat="1" x14ac:dyDescent="0.2">
      <c r="M4799" s="309"/>
      <c r="AB4799" s="310"/>
    </row>
    <row r="4800" spans="13:28" s="308" customFormat="1" x14ac:dyDescent="0.2">
      <c r="M4800" s="309"/>
      <c r="AB4800" s="310"/>
    </row>
    <row r="4801" spans="13:28" s="308" customFormat="1" x14ac:dyDescent="0.2">
      <c r="M4801" s="309"/>
      <c r="AB4801" s="310"/>
    </row>
    <row r="4802" spans="13:28" s="308" customFormat="1" x14ac:dyDescent="0.2">
      <c r="M4802" s="309"/>
      <c r="AB4802" s="310"/>
    </row>
    <row r="4803" spans="13:28" s="308" customFormat="1" x14ac:dyDescent="0.2">
      <c r="M4803" s="309"/>
      <c r="AB4803" s="310"/>
    </row>
    <row r="4804" spans="13:28" s="308" customFormat="1" x14ac:dyDescent="0.2">
      <c r="M4804" s="309"/>
      <c r="AB4804" s="310"/>
    </row>
    <row r="4805" spans="13:28" s="308" customFormat="1" x14ac:dyDescent="0.2">
      <c r="M4805" s="309"/>
      <c r="AB4805" s="310"/>
    </row>
    <row r="4806" spans="13:28" s="308" customFormat="1" x14ac:dyDescent="0.2">
      <c r="M4806" s="309"/>
      <c r="AB4806" s="310"/>
    </row>
    <row r="4807" spans="13:28" s="308" customFormat="1" x14ac:dyDescent="0.2">
      <c r="M4807" s="309"/>
      <c r="AB4807" s="310"/>
    </row>
    <row r="4808" spans="13:28" s="308" customFormat="1" x14ac:dyDescent="0.2">
      <c r="M4808" s="309"/>
      <c r="AB4808" s="310"/>
    </row>
    <row r="4809" spans="13:28" s="308" customFormat="1" x14ac:dyDescent="0.2">
      <c r="M4809" s="309"/>
      <c r="AB4809" s="310"/>
    </row>
    <row r="4810" spans="13:28" s="308" customFormat="1" x14ac:dyDescent="0.2">
      <c r="M4810" s="309"/>
      <c r="AB4810" s="310"/>
    </row>
    <row r="4811" spans="13:28" s="308" customFormat="1" x14ac:dyDescent="0.2">
      <c r="M4811" s="309"/>
      <c r="AB4811" s="310"/>
    </row>
    <row r="4812" spans="13:28" s="308" customFormat="1" x14ac:dyDescent="0.2">
      <c r="M4812" s="309"/>
      <c r="AB4812" s="310"/>
    </row>
    <row r="4813" spans="13:28" s="308" customFormat="1" x14ac:dyDescent="0.2">
      <c r="M4813" s="309"/>
      <c r="AB4813" s="310"/>
    </row>
    <row r="4814" spans="13:28" s="308" customFormat="1" x14ac:dyDescent="0.2">
      <c r="M4814" s="309"/>
      <c r="AB4814" s="310"/>
    </row>
    <row r="4815" spans="13:28" s="308" customFormat="1" x14ac:dyDescent="0.2">
      <c r="M4815" s="309"/>
      <c r="AB4815" s="310"/>
    </row>
    <row r="4816" spans="13:28" s="308" customFormat="1" x14ac:dyDescent="0.2">
      <c r="M4816" s="309"/>
      <c r="AB4816" s="310"/>
    </row>
    <row r="4817" spans="13:28" s="308" customFormat="1" x14ac:dyDescent="0.2">
      <c r="M4817" s="309"/>
      <c r="AB4817" s="310"/>
    </row>
    <row r="4818" spans="13:28" s="308" customFormat="1" x14ac:dyDescent="0.2">
      <c r="M4818" s="309"/>
      <c r="AB4818" s="310"/>
    </row>
    <row r="4819" spans="13:28" s="308" customFormat="1" x14ac:dyDescent="0.2">
      <c r="M4819" s="309"/>
      <c r="AB4819" s="310"/>
    </row>
    <row r="4820" spans="13:28" s="308" customFormat="1" x14ac:dyDescent="0.2">
      <c r="M4820" s="309"/>
      <c r="AB4820" s="310"/>
    </row>
    <row r="4821" spans="13:28" s="308" customFormat="1" x14ac:dyDescent="0.2">
      <c r="M4821" s="309"/>
      <c r="AB4821" s="310"/>
    </row>
    <row r="4822" spans="13:28" s="308" customFormat="1" x14ac:dyDescent="0.2">
      <c r="M4822" s="309"/>
      <c r="AB4822" s="310"/>
    </row>
    <row r="4823" spans="13:28" s="308" customFormat="1" x14ac:dyDescent="0.2">
      <c r="M4823" s="309"/>
      <c r="AB4823" s="310"/>
    </row>
    <row r="4824" spans="13:28" s="308" customFormat="1" x14ac:dyDescent="0.2">
      <c r="M4824" s="309"/>
      <c r="AB4824" s="310"/>
    </row>
    <row r="4825" spans="13:28" s="308" customFormat="1" x14ac:dyDescent="0.2">
      <c r="M4825" s="309"/>
      <c r="AB4825" s="310"/>
    </row>
    <row r="4826" spans="13:28" s="308" customFormat="1" x14ac:dyDescent="0.2">
      <c r="M4826" s="309"/>
      <c r="AB4826" s="310"/>
    </row>
    <row r="4827" spans="13:28" s="308" customFormat="1" x14ac:dyDescent="0.2">
      <c r="M4827" s="309"/>
      <c r="AB4827" s="310"/>
    </row>
    <row r="4828" spans="13:28" s="308" customFormat="1" x14ac:dyDescent="0.2">
      <c r="M4828" s="309"/>
      <c r="AB4828" s="310"/>
    </row>
    <row r="4829" spans="13:28" s="308" customFormat="1" x14ac:dyDescent="0.2">
      <c r="M4829" s="309"/>
      <c r="AB4829" s="310"/>
    </row>
    <row r="4830" spans="13:28" s="308" customFormat="1" x14ac:dyDescent="0.2">
      <c r="M4830" s="309"/>
      <c r="AB4830" s="310"/>
    </row>
    <row r="4831" spans="13:28" s="308" customFormat="1" x14ac:dyDescent="0.2">
      <c r="M4831" s="309"/>
      <c r="AB4831" s="310"/>
    </row>
    <row r="4832" spans="13:28" s="308" customFormat="1" x14ac:dyDescent="0.2">
      <c r="M4832" s="309"/>
      <c r="AB4832" s="310"/>
    </row>
    <row r="4833" spans="13:28" s="308" customFormat="1" x14ac:dyDescent="0.2">
      <c r="M4833" s="309"/>
      <c r="AB4833" s="310"/>
    </row>
    <row r="4834" spans="13:28" s="308" customFormat="1" x14ac:dyDescent="0.2">
      <c r="M4834" s="309"/>
      <c r="AB4834" s="310"/>
    </row>
    <row r="4835" spans="13:28" s="308" customFormat="1" x14ac:dyDescent="0.2">
      <c r="M4835" s="309"/>
      <c r="AB4835" s="310"/>
    </row>
    <row r="4836" spans="13:28" s="308" customFormat="1" x14ac:dyDescent="0.2">
      <c r="M4836" s="309"/>
      <c r="AB4836" s="310"/>
    </row>
    <row r="4837" spans="13:28" s="308" customFormat="1" x14ac:dyDescent="0.2">
      <c r="M4837" s="309"/>
      <c r="AB4837" s="310"/>
    </row>
    <row r="4838" spans="13:28" s="308" customFormat="1" x14ac:dyDescent="0.2">
      <c r="M4838" s="309"/>
      <c r="AB4838" s="310"/>
    </row>
    <row r="4839" spans="13:28" s="308" customFormat="1" x14ac:dyDescent="0.2">
      <c r="M4839" s="309"/>
      <c r="AB4839" s="310"/>
    </row>
    <row r="4840" spans="13:28" s="308" customFormat="1" x14ac:dyDescent="0.2">
      <c r="M4840" s="309"/>
      <c r="AB4840" s="310"/>
    </row>
    <row r="4841" spans="13:28" s="308" customFormat="1" x14ac:dyDescent="0.2">
      <c r="M4841" s="309"/>
      <c r="AB4841" s="310"/>
    </row>
    <row r="4842" spans="13:28" s="308" customFormat="1" x14ac:dyDescent="0.2">
      <c r="M4842" s="309"/>
      <c r="AB4842" s="310"/>
    </row>
    <row r="4843" spans="13:28" s="308" customFormat="1" x14ac:dyDescent="0.2">
      <c r="M4843" s="309"/>
      <c r="AB4843" s="310"/>
    </row>
    <row r="4844" spans="13:28" s="308" customFormat="1" x14ac:dyDescent="0.2">
      <c r="M4844" s="309"/>
      <c r="AB4844" s="310"/>
    </row>
    <row r="4845" spans="13:28" s="308" customFormat="1" x14ac:dyDescent="0.2">
      <c r="M4845" s="309"/>
      <c r="AB4845" s="310"/>
    </row>
    <row r="4846" spans="13:28" s="308" customFormat="1" x14ac:dyDescent="0.2">
      <c r="M4846" s="309"/>
      <c r="AB4846" s="310"/>
    </row>
    <row r="4847" spans="13:28" s="308" customFormat="1" x14ac:dyDescent="0.2">
      <c r="M4847" s="309"/>
      <c r="AB4847" s="310"/>
    </row>
    <row r="4848" spans="13:28" s="308" customFormat="1" x14ac:dyDescent="0.2">
      <c r="M4848" s="309"/>
      <c r="AB4848" s="310"/>
    </row>
    <row r="4849" spans="13:28" s="308" customFormat="1" x14ac:dyDescent="0.2">
      <c r="M4849" s="309"/>
      <c r="AB4849" s="310"/>
    </row>
    <row r="4850" spans="13:28" s="308" customFormat="1" x14ac:dyDescent="0.2">
      <c r="M4850" s="309"/>
      <c r="AB4850" s="310"/>
    </row>
    <row r="4851" spans="13:28" s="308" customFormat="1" x14ac:dyDescent="0.2">
      <c r="M4851" s="309"/>
      <c r="AB4851" s="310"/>
    </row>
    <row r="4852" spans="13:28" s="308" customFormat="1" x14ac:dyDescent="0.2">
      <c r="M4852" s="309"/>
      <c r="AB4852" s="310"/>
    </row>
    <row r="4853" spans="13:28" s="308" customFormat="1" x14ac:dyDescent="0.2">
      <c r="M4853" s="309"/>
      <c r="AB4853" s="310"/>
    </row>
    <row r="4854" spans="13:28" s="308" customFormat="1" x14ac:dyDescent="0.2">
      <c r="M4854" s="309"/>
      <c r="AB4854" s="310"/>
    </row>
    <row r="4855" spans="13:28" s="308" customFormat="1" x14ac:dyDescent="0.2">
      <c r="M4855" s="309"/>
      <c r="AB4855" s="310"/>
    </row>
    <row r="4856" spans="13:28" s="308" customFormat="1" x14ac:dyDescent="0.2">
      <c r="M4856" s="309"/>
      <c r="AB4856" s="310"/>
    </row>
    <row r="4857" spans="13:28" s="308" customFormat="1" x14ac:dyDescent="0.2">
      <c r="M4857" s="309"/>
      <c r="AB4857" s="310"/>
    </row>
    <row r="4858" spans="13:28" s="308" customFormat="1" x14ac:dyDescent="0.2">
      <c r="M4858" s="309"/>
      <c r="AB4858" s="310"/>
    </row>
    <row r="4859" spans="13:28" s="308" customFormat="1" x14ac:dyDescent="0.2">
      <c r="M4859" s="309"/>
      <c r="AB4859" s="310"/>
    </row>
    <row r="4860" spans="13:28" s="308" customFormat="1" x14ac:dyDescent="0.2">
      <c r="M4860" s="309"/>
      <c r="AB4860" s="310"/>
    </row>
    <row r="4861" spans="13:28" s="308" customFormat="1" x14ac:dyDescent="0.2">
      <c r="M4861" s="309"/>
      <c r="AB4861" s="310"/>
    </row>
    <row r="4862" spans="13:28" s="308" customFormat="1" x14ac:dyDescent="0.2">
      <c r="M4862" s="309"/>
      <c r="AB4862" s="310"/>
    </row>
    <row r="4863" spans="13:28" s="308" customFormat="1" x14ac:dyDescent="0.2">
      <c r="M4863" s="309"/>
      <c r="AB4863" s="310"/>
    </row>
    <row r="4864" spans="13:28" s="308" customFormat="1" x14ac:dyDescent="0.2">
      <c r="M4864" s="309"/>
      <c r="AB4864" s="310"/>
    </row>
    <row r="4865" spans="13:28" s="308" customFormat="1" x14ac:dyDescent="0.2">
      <c r="M4865" s="309"/>
      <c r="AB4865" s="310"/>
    </row>
    <row r="4866" spans="13:28" s="308" customFormat="1" x14ac:dyDescent="0.2">
      <c r="M4866" s="309"/>
      <c r="AB4866" s="310"/>
    </row>
    <row r="4867" spans="13:28" s="308" customFormat="1" x14ac:dyDescent="0.2">
      <c r="M4867" s="309"/>
      <c r="AB4867" s="310"/>
    </row>
    <row r="4868" spans="13:28" s="308" customFormat="1" x14ac:dyDescent="0.2">
      <c r="M4868" s="309"/>
      <c r="AB4868" s="310"/>
    </row>
    <row r="4869" spans="13:28" s="308" customFormat="1" x14ac:dyDescent="0.2">
      <c r="M4869" s="309"/>
      <c r="AB4869" s="310"/>
    </row>
    <row r="4870" spans="13:28" s="308" customFormat="1" x14ac:dyDescent="0.2">
      <c r="M4870" s="309"/>
      <c r="AB4870" s="310"/>
    </row>
    <row r="4871" spans="13:28" s="308" customFormat="1" x14ac:dyDescent="0.2">
      <c r="M4871" s="309"/>
      <c r="AB4871" s="310"/>
    </row>
    <row r="4872" spans="13:28" s="308" customFormat="1" x14ac:dyDescent="0.2">
      <c r="M4872" s="309"/>
      <c r="AB4872" s="310"/>
    </row>
    <row r="4873" spans="13:28" s="308" customFormat="1" x14ac:dyDescent="0.2">
      <c r="M4873" s="309"/>
      <c r="AB4873" s="310"/>
    </row>
    <row r="4874" spans="13:28" s="308" customFormat="1" x14ac:dyDescent="0.2">
      <c r="M4874" s="309"/>
      <c r="AB4874" s="310"/>
    </row>
    <row r="4875" spans="13:28" s="308" customFormat="1" x14ac:dyDescent="0.2">
      <c r="M4875" s="309"/>
      <c r="AB4875" s="310"/>
    </row>
    <row r="4876" spans="13:28" s="308" customFormat="1" x14ac:dyDescent="0.2">
      <c r="M4876" s="309"/>
      <c r="AB4876" s="310"/>
    </row>
    <row r="4877" spans="13:28" s="308" customFormat="1" x14ac:dyDescent="0.2">
      <c r="M4877" s="309"/>
      <c r="AB4877" s="310"/>
    </row>
    <row r="4878" spans="13:28" s="308" customFormat="1" x14ac:dyDescent="0.2">
      <c r="M4878" s="309"/>
      <c r="AB4878" s="310"/>
    </row>
    <row r="4879" spans="13:28" s="308" customFormat="1" x14ac:dyDescent="0.2">
      <c r="M4879" s="309"/>
      <c r="AB4879" s="310"/>
    </row>
    <row r="4880" spans="13:28" s="308" customFormat="1" x14ac:dyDescent="0.2">
      <c r="M4880" s="309"/>
      <c r="AB4880" s="310"/>
    </row>
    <row r="4881" spans="13:28" s="308" customFormat="1" x14ac:dyDescent="0.2">
      <c r="M4881" s="309"/>
      <c r="AB4881" s="310"/>
    </row>
    <row r="4882" spans="13:28" s="308" customFormat="1" x14ac:dyDescent="0.2">
      <c r="M4882" s="309"/>
      <c r="AB4882" s="310"/>
    </row>
    <row r="4883" spans="13:28" s="308" customFormat="1" x14ac:dyDescent="0.2">
      <c r="M4883" s="309"/>
      <c r="AB4883" s="310"/>
    </row>
    <row r="4884" spans="13:28" s="308" customFormat="1" x14ac:dyDescent="0.2">
      <c r="M4884" s="309"/>
      <c r="AB4884" s="310"/>
    </row>
    <row r="4885" spans="13:28" s="308" customFormat="1" x14ac:dyDescent="0.2">
      <c r="M4885" s="309"/>
      <c r="AB4885" s="310"/>
    </row>
    <row r="4886" spans="13:28" s="308" customFormat="1" x14ac:dyDescent="0.2">
      <c r="M4886" s="309"/>
      <c r="AB4886" s="310"/>
    </row>
    <row r="4887" spans="13:28" s="308" customFormat="1" x14ac:dyDescent="0.2">
      <c r="M4887" s="309"/>
      <c r="AB4887" s="310"/>
    </row>
    <row r="4888" spans="13:28" s="308" customFormat="1" x14ac:dyDescent="0.2">
      <c r="M4888" s="309"/>
      <c r="AB4888" s="310"/>
    </row>
    <row r="4889" spans="13:28" s="308" customFormat="1" x14ac:dyDescent="0.2">
      <c r="M4889" s="309"/>
      <c r="AB4889" s="310"/>
    </row>
    <row r="4890" spans="13:28" s="308" customFormat="1" x14ac:dyDescent="0.2">
      <c r="M4890" s="309"/>
      <c r="AB4890" s="310"/>
    </row>
    <row r="4891" spans="13:28" s="308" customFormat="1" x14ac:dyDescent="0.2">
      <c r="M4891" s="309"/>
      <c r="AB4891" s="310"/>
    </row>
    <row r="4892" spans="13:28" s="308" customFormat="1" x14ac:dyDescent="0.2">
      <c r="M4892" s="309"/>
      <c r="AB4892" s="310"/>
    </row>
    <row r="4893" spans="13:28" s="308" customFormat="1" x14ac:dyDescent="0.2">
      <c r="M4893" s="309"/>
      <c r="AB4893" s="310"/>
    </row>
    <row r="4894" spans="13:28" s="308" customFormat="1" x14ac:dyDescent="0.2">
      <c r="M4894" s="309"/>
      <c r="AB4894" s="310"/>
    </row>
    <row r="4895" spans="13:28" s="308" customFormat="1" x14ac:dyDescent="0.2">
      <c r="M4895" s="309"/>
      <c r="AB4895" s="310"/>
    </row>
    <row r="4896" spans="13:28" s="308" customFormat="1" x14ac:dyDescent="0.2">
      <c r="M4896" s="309"/>
      <c r="AB4896" s="310"/>
    </row>
    <row r="4897" spans="13:28" s="308" customFormat="1" x14ac:dyDescent="0.2">
      <c r="M4897" s="309"/>
      <c r="AB4897" s="310"/>
    </row>
    <row r="4898" spans="13:28" s="308" customFormat="1" x14ac:dyDescent="0.2">
      <c r="M4898" s="309"/>
      <c r="AB4898" s="310"/>
    </row>
    <row r="4899" spans="13:28" s="308" customFormat="1" x14ac:dyDescent="0.2">
      <c r="M4899" s="309"/>
      <c r="AB4899" s="310"/>
    </row>
    <row r="4900" spans="13:28" s="308" customFormat="1" x14ac:dyDescent="0.2">
      <c r="M4900" s="309"/>
      <c r="AB4900" s="310"/>
    </row>
    <row r="4901" spans="13:28" s="308" customFormat="1" x14ac:dyDescent="0.2">
      <c r="M4901" s="309"/>
      <c r="AB4901" s="310"/>
    </row>
    <row r="4902" spans="13:28" s="308" customFormat="1" x14ac:dyDescent="0.2">
      <c r="M4902" s="309"/>
      <c r="AB4902" s="310"/>
    </row>
    <row r="4903" spans="13:28" s="308" customFormat="1" x14ac:dyDescent="0.2">
      <c r="M4903" s="309"/>
      <c r="AB4903" s="310"/>
    </row>
    <row r="4904" spans="13:28" s="308" customFormat="1" x14ac:dyDescent="0.2">
      <c r="M4904" s="309"/>
      <c r="AB4904" s="310"/>
    </row>
    <row r="4905" spans="13:28" s="308" customFormat="1" x14ac:dyDescent="0.2">
      <c r="M4905" s="309"/>
      <c r="AB4905" s="310"/>
    </row>
    <row r="4906" spans="13:28" s="308" customFormat="1" x14ac:dyDescent="0.2">
      <c r="M4906" s="309"/>
      <c r="AB4906" s="310"/>
    </row>
    <row r="4907" spans="13:28" s="308" customFormat="1" x14ac:dyDescent="0.2">
      <c r="M4907" s="309"/>
      <c r="AB4907" s="310"/>
    </row>
    <row r="4908" spans="13:28" s="308" customFormat="1" x14ac:dyDescent="0.2">
      <c r="M4908" s="309"/>
      <c r="AB4908" s="310"/>
    </row>
    <row r="4909" spans="13:28" s="308" customFormat="1" x14ac:dyDescent="0.2">
      <c r="M4909" s="309"/>
      <c r="AB4909" s="310"/>
    </row>
    <row r="4910" spans="13:28" s="308" customFormat="1" x14ac:dyDescent="0.2">
      <c r="M4910" s="309"/>
      <c r="AB4910" s="310"/>
    </row>
    <row r="4911" spans="13:28" s="308" customFormat="1" x14ac:dyDescent="0.2">
      <c r="M4911" s="309"/>
      <c r="AB4911" s="310"/>
    </row>
    <row r="4912" spans="13:28" s="308" customFormat="1" x14ac:dyDescent="0.2">
      <c r="M4912" s="309"/>
      <c r="AB4912" s="310"/>
    </row>
    <row r="4913" spans="13:28" s="308" customFormat="1" x14ac:dyDescent="0.2">
      <c r="M4913" s="309"/>
      <c r="AB4913" s="310"/>
    </row>
    <row r="4914" spans="13:28" s="308" customFormat="1" x14ac:dyDescent="0.2">
      <c r="M4914" s="309"/>
      <c r="AB4914" s="310"/>
    </row>
    <row r="4915" spans="13:28" s="308" customFormat="1" x14ac:dyDescent="0.2">
      <c r="M4915" s="309"/>
      <c r="AB4915" s="310"/>
    </row>
    <row r="4916" spans="13:28" s="308" customFormat="1" x14ac:dyDescent="0.2">
      <c r="M4916" s="309"/>
      <c r="AB4916" s="310"/>
    </row>
    <row r="4917" spans="13:28" s="308" customFormat="1" x14ac:dyDescent="0.2">
      <c r="M4917" s="309"/>
      <c r="AB4917" s="310"/>
    </row>
    <row r="4918" spans="13:28" s="308" customFormat="1" x14ac:dyDescent="0.2">
      <c r="M4918" s="309"/>
      <c r="AB4918" s="310"/>
    </row>
    <row r="4919" spans="13:28" s="308" customFormat="1" x14ac:dyDescent="0.2">
      <c r="M4919" s="309"/>
      <c r="AB4919" s="310"/>
    </row>
    <row r="4920" spans="13:28" s="308" customFormat="1" x14ac:dyDescent="0.2">
      <c r="M4920" s="309"/>
      <c r="AB4920" s="310"/>
    </row>
    <row r="4921" spans="13:28" s="308" customFormat="1" x14ac:dyDescent="0.2">
      <c r="M4921" s="309"/>
      <c r="AB4921" s="310"/>
    </row>
    <row r="4922" spans="13:28" s="308" customFormat="1" x14ac:dyDescent="0.2">
      <c r="M4922" s="309"/>
      <c r="AB4922" s="310"/>
    </row>
    <row r="4923" spans="13:28" s="308" customFormat="1" x14ac:dyDescent="0.2">
      <c r="M4923" s="309"/>
      <c r="AB4923" s="310"/>
    </row>
    <row r="4924" spans="13:28" s="308" customFormat="1" x14ac:dyDescent="0.2">
      <c r="M4924" s="309"/>
      <c r="AB4924" s="310"/>
    </row>
    <row r="4925" spans="13:28" s="308" customFormat="1" x14ac:dyDescent="0.2">
      <c r="M4925" s="309"/>
      <c r="AB4925" s="310"/>
    </row>
    <row r="4926" spans="13:28" s="308" customFormat="1" x14ac:dyDescent="0.2">
      <c r="M4926" s="309"/>
      <c r="AB4926" s="310"/>
    </row>
    <row r="4927" spans="13:28" s="308" customFormat="1" x14ac:dyDescent="0.2">
      <c r="M4927" s="309"/>
      <c r="AB4927" s="310"/>
    </row>
    <row r="4928" spans="13:28" s="308" customFormat="1" x14ac:dyDescent="0.2">
      <c r="M4928" s="309"/>
      <c r="AB4928" s="310"/>
    </row>
    <row r="4929" spans="13:28" s="308" customFormat="1" x14ac:dyDescent="0.2">
      <c r="M4929" s="309"/>
      <c r="AB4929" s="310"/>
    </row>
    <row r="4930" spans="13:28" s="308" customFormat="1" x14ac:dyDescent="0.2">
      <c r="M4930" s="309"/>
      <c r="AB4930" s="310"/>
    </row>
    <row r="4931" spans="13:28" s="308" customFormat="1" x14ac:dyDescent="0.2">
      <c r="M4931" s="309"/>
      <c r="AB4931" s="310"/>
    </row>
    <row r="4932" spans="13:28" s="308" customFormat="1" x14ac:dyDescent="0.2">
      <c r="M4932" s="309"/>
      <c r="AB4932" s="310"/>
    </row>
    <row r="4933" spans="13:28" s="308" customFormat="1" x14ac:dyDescent="0.2">
      <c r="M4933" s="309"/>
      <c r="AB4933" s="310"/>
    </row>
    <row r="4934" spans="13:28" s="308" customFormat="1" x14ac:dyDescent="0.2">
      <c r="M4934" s="309"/>
      <c r="AB4934" s="310"/>
    </row>
    <row r="4935" spans="13:28" s="308" customFormat="1" x14ac:dyDescent="0.2">
      <c r="M4935" s="309"/>
      <c r="AB4935" s="310"/>
    </row>
    <row r="4936" spans="13:28" s="308" customFormat="1" x14ac:dyDescent="0.2">
      <c r="M4936" s="309"/>
      <c r="AB4936" s="310"/>
    </row>
    <row r="4937" spans="13:28" s="308" customFormat="1" x14ac:dyDescent="0.2">
      <c r="M4937" s="309"/>
      <c r="AB4937" s="310"/>
    </row>
    <row r="4938" spans="13:28" s="308" customFormat="1" x14ac:dyDescent="0.2">
      <c r="M4938" s="309"/>
      <c r="AB4938" s="310"/>
    </row>
    <row r="4939" spans="13:28" s="308" customFormat="1" x14ac:dyDescent="0.2">
      <c r="M4939" s="309"/>
      <c r="AB4939" s="310"/>
    </row>
    <row r="4940" spans="13:28" s="308" customFormat="1" x14ac:dyDescent="0.2">
      <c r="M4940" s="309"/>
      <c r="AB4940" s="310"/>
    </row>
    <row r="4941" spans="13:28" s="308" customFormat="1" x14ac:dyDescent="0.2">
      <c r="M4941" s="309"/>
      <c r="AB4941" s="310"/>
    </row>
    <row r="4942" spans="13:28" s="308" customFormat="1" x14ac:dyDescent="0.2">
      <c r="M4942" s="309"/>
      <c r="AB4942" s="310"/>
    </row>
    <row r="4943" spans="13:28" s="308" customFormat="1" x14ac:dyDescent="0.2">
      <c r="M4943" s="309"/>
      <c r="AB4943" s="310"/>
    </row>
    <row r="4944" spans="13:28" s="308" customFormat="1" x14ac:dyDescent="0.2">
      <c r="M4944" s="309"/>
      <c r="AB4944" s="310"/>
    </row>
    <row r="4945" spans="13:28" s="308" customFormat="1" x14ac:dyDescent="0.2">
      <c r="M4945" s="309"/>
      <c r="AB4945" s="310"/>
    </row>
    <row r="4946" spans="13:28" s="308" customFormat="1" x14ac:dyDescent="0.2">
      <c r="M4946" s="309"/>
      <c r="AB4946" s="310"/>
    </row>
    <row r="4947" spans="13:28" s="308" customFormat="1" x14ac:dyDescent="0.2">
      <c r="M4947" s="309"/>
      <c r="AB4947" s="310"/>
    </row>
    <row r="4948" spans="13:28" s="308" customFormat="1" x14ac:dyDescent="0.2">
      <c r="M4948" s="309"/>
      <c r="AB4948" s="310"/>
    </row>
    <row r="4949" spans="13:28" s="308" customFormat="1" x14ac:dyDescent="0.2">
      <c r="M4949" s="309"/>
      <c r="AB4949" s="310"/>
    </row>
    <row r="4950" spans="13:28" s="308" customFormat="1" x14ac:dyDescent="0.2">
      <c r="M4950" s="309"/>
      <c r="AB4950" s="310"/>
    </row>
    <row r="4951" spans="13:28" s="308" customFormat="1" x14ac:dyDescent="0.2">
      <c r="M4951" s="309"/>
      <c r="AB4951" s="310"/>
    </row>
    <row r="4952" spans="13:28" s="308" customFormat="1" x14ac:dyDescent="0.2">
      <c r="M4952" s="309"/>
      <c r="AB4952" s="310"/>
    </row>
    <row r="4953" spans="13:28" s="308" customFormat="1" x14ac:dyDescent="0.2">
      <c r="M4953" s="309"/>
      <c r="AB4953" s="310"/>
    </row>
    <row r="4954" spans="13:28" s="308" customFormat="1" x14ac:dyDescent="0.2">
      <c r="M4954" s="309"/>
      <c r="AB4954" s="310"/>
    </row>
    <row r="4955" spans="13:28" s="308" customFormat="1" x14ac:dyDescent="0.2">
      <c r="M4955" s="309"/>
      <c r="AB4955" s="310"/>
    </row>
    <row r="4956" spans="13:28" s="308" customFormat="1" x14ac:dyDescent="0.2">
      <c r="M4956" s="309"/>
      <c r="AB4956" s="310"/>
    </row>
    <row r="4957" spans="13:28" s="308" customFormat="1" x14ac:dyDescent="0.2">
      <c r="M4957" s="309"/>
      <c r="AB4957" s="310"/>
    </row>
    <row r="4958" spans="13:28" s="308" customFormat="1" x14ac:dyDescent="0.2">
      <c r="M4958" s="309"/>
      <c r="AB4958" s="310"/>
    </row>
    <row r="4959" spans="13:28" s="308" customFormat="1" x14ac:dyDescent="0.2">
      <c r="M4959" s="309"/>
      <c r="AB4959" s="310"/>
    </row>
    <row r="4960" spans="13:28" s="308" customFormat="1" x14ac:dyDescent="0.2">
      <c r="M4960" s="309"/>
      <c r="AB4960" s="310"/>
    </row>
    <row r="4961" spans="13:28" s="308" customFormat="1" x14ac:dyDescent="0.2">
      <c r="M4961" s="309"/>
      <c r="AB4961" s="310"/>
    </row>
    <row r="4962" spans="13:28" s="308" customFormat="1" x14ac:dyDescent="0.2">
      <c r="M4962" s="309"/>
      <c r="AB4962" s="310"/>
    </row>
    <row r="4963" spans="13:28" s="308" customFormat="1" x14ac:dyDescent="0.2">
      <c r="M4963" s="309"/>
      <c r="AB4963" s="310"/>
    </row>
    <row r="4964" spans="13:28" s="308" customFormat="1" x14ac:dyDescent="0.2">
      <c r="M4964" s="309"/>
      <c r="AB4964" s="310"/>
    </row>
    <row r="4965" spans="13:28" s="308" customFormat="1" x14ac:dyDescent="0.2">
      <c r="M4965" s="309"/>
      <c r="AB4965" s="310"/>
    </row>
    <row r="4966" spans="13:28" s="308" customFormat="1" x14ac:dyDescent="0.2">
      <c r="M4966" s="309"/>
      <c r="AB4966" s="310"/>
    </row>
    <row r="4967" spans="13:28" s="308" customFormat="1" x14ac:dyDescent="0.2">
      <c r="M4967" s="309"/>
      <c r="AB4967" s="310"/>
    </row>
    <row r="4968" spans="13:28" s="308" customFormat="1" x14ac:dyDescent="0.2">
      <c r="M4968" s="309"/>
      <c r="AB4968" s="310"/>
    </row>
    <row r="4969" spans="13:28" s="308" customFormat="1" x14ac:dyDescent="0.2">
      <c r="M4969" s="309"/>
      <c r="AB4969" s="310"/>
    </row>
    <row r="4970" spans="13:28" s="308" customFormat="1" x14ac:dyDescent="0.2">
      <c r="M4970" s="309"/>
      <c r="AB4970" s="310"/>
    </row>
    <row r="4971" spans="13:28" s="308" customFormat="1" x14ac:dyDescent="0.2">
      <c r="M4971" s="309"/>
      <c r="AB4971" s="310"/>
    </row>
    <row r="4972" spans="13:28" s="308" customFormat="1" x14ac:dyDescent="0.2">
      <c r="M4972" s="309"/>
      <c r="AB4972" s="310"/>
    </row>
    <row r="4973" spans="13:28" s="308" customFormat="1" x14ac:dyDescent="0.2">
      <c r="M4973" s="309"/>
      <c r="AB4973" s="310"/>
    </row>
    <row r="4974" spans="13:28" s="308" customFormat="1" x14ac:dyDescent="0.2">
      <c r="M4974" s="309"/>
      <c r="AB4974" s="310"/>
    </row>
    <row r="4975" spans="13:28" s="308" customFormat="1" x14ac:dyDescent="0.2">
      <c r="M4975" s="309"/>
      <c r="AB4975" s="310"/>
    </row>
    <row r="4976" spans="13:28" s="308" customFormat="1" x14ac:dyDescent="0.2">
      <c r="M4976" s="309"/>
      <c r="AB4976" s="310"/>
    </row>
    <row r="4977" spans="13:28" s="308" customFormat="1" x14ac:dyDescent="0.2">
      <c r="M4977" s="309"/>
      <c r="AB4977" s="310"/>
    </row>
    <row r="4978" spans="13:28" s="308" customFormat="1" x14ac:dyDescent="0.2">
      <c r="M4978" s="309"/>
      <c r="AB4978" s="310"/>
    </row>
    <row r="4979" spans="13:28" s="308" customFormat="1" x14ac:dyDescent="0.2">
      <c r="M4979" s="309"/>
      <c r="AB4979" s="310"/>
    </row>
    <row r="4980" spans="13:28" s="308" customFormat="1" x14ac:dyDescent="0.2">
      <c r="M4980" s="309"/>
      <c r="AB4980" s="310"/>
    </row>
    <row r="4981" spans="13:28" s="308" customFormat="1" x14ac:dyDescent="0.2">
      <c r="M4981" s="309"/>
      <c r="AB4981" s="310"/>
    </row>
    <row r="4982" spans="13:28" s="308" customFormat="1" x14ac:dyDescent="0.2">
      <c r="M4982" s="309"/>
      <c r="AB4982" s="310"/>
    </row>
    <row r="4983" spans="13:28" s="308" customFormat="1" x14ac:dyDescent="0.2">
      <c r="M4983" s="309"/>
      <c r="AB4983" s="310"/>
    </row>
    <row r="4984" spans="13:28" s="308" customFormat="1" x14ac:dyDescent="0.2">
      <c r="M4984" s="309"/>
      <c r="AB4984" s="310"/>
    </row>
    <row r="4985" spans="13:28" s="308" customFormat="1" x14ac:dyDescent="0.2">
      <c r="M4985" s="309"/>
      <c r="AB4985" s="310"/>
    </row>
    <row r="4986" spans="13:28" s="308" customFormat="1" x14ac:dyDescent="0.2">
      <c r="M4986" s="309"/>
      <c r="AB4986" s="310"/>
    </row>
    <row r="4987" spans="13:28" s="308" customFormat="1" x14ac:dyDescent="0.2">
      <c r="M4987" s="309"/>
      <c r="AB4987" s="310"/>
    </row>
    <row r="4988" spans="13:28" s="308" customFormat="1" x14ac:dyDescent="0.2">
      <c r="M4988" s="309"/>
      <c r="AB4988" s="310"/>
    </row>
    <row r="4989" spans="13:28" s="308" customFormat="1" x14ac:dyDescent="0.2">
      <c r="M4989" s="309"/>
      <c r="AB4989" s="310"/>
    </row>
    <row r="4990" spans="13:28" s="308" customFormat="1" x14ac:dyDescent="0.2">
      <c r="M4990" s="309"/>
      <c r="AB4990" s="310"/>
    </row>
    <row r="4991" spans="13:28" s="308" customFormat="1" x14ac:dyDescent="0.2">
      <c r="M4991" s="309"/>
      <c r="AB4991" s="310"/>
    </row>
    <row r="4992" spans="13:28" s="308" customFormat="1" x14ac:dyDescent="0.2">
      <c r="M4992" s="309"/>
      <c r="AB4992" s="310"/>
    </row>
    <row r="4993" spans="13:28" s="308" customFormat="1" x14ac:dyDescent="0.2">
      <c r="M4993" s="309"/>
      <c r="AB4993" s="310"/>
    </row>
    <row r="4994" spans="13:28" s="308" customFormat="1" x14ac:dyDescent="0.2">
      <c r="M4994" s="309"/>
      <c r="AB4994" s="310"/>
    </row>
    <row r="4995" spans="13:28" s="308" customFormat="1" x14ac:dyDescent="0.2">
      <c r="M4995" s="309"/>
      <c r="AB4995" s="310"/>
    </row>
    <row r="4996" spans="13:28" s="308" customFormat="1" x14ac:dyDescent="0.2">
      <c r="M4996" s="309"/>
      <c r="AB4996" s="310"/>
    </row>
    <row r="4997" spans="13:28" s="308" customFormat="1" x14ac:dyDescent="0.2">
      <c r="M4997" s="309"/>
      <c r="AB4997" s="310"/>
    </row>
    <row r="4998" spans="13:28" s="308" customFormat="1" x14ac:dyDescent="0.2">
      <c r="M4998" s="309"/>
      <c r="AB4998" s="310"/>
    </row>
    <row r="4999" spans="13:28" s="308" customFormat="1" x14ac:dyDescent="0.2">
      <c r="M4999" s="309"/>
      <c r="AB4999" s="310"/>
    </row>
    <row r="5000" spans="13:28" s="308" customFormat="1" x14ac:dyDescent="0.2">
      <c r="M5000" s="309"/>
      <c r="AB5000" s="310"/>
    </row>
    <row r="5001" spans="13:28" s="308" customFormat="1" x14ac:dyDescent="0.2">
      <c r="M5001" s="309"/>
      <c r="AB5001" s="310"/>
    </row>
    <row r="5002" spans="13:28" s="308" customFormat="1" x14ac:dyDescent="0.2">
      <c r="M5002" s="309"/>
      <c r="AB5002" s="310"/>
    </row>
    <row r="5003" spans="13:28" s="308" customFormat="1" x14ac:dyDescent="0.2">
      <c r="M5003" s="309"/>
      <c r="AB5003" s="310"/>
    </row>
    <row r="5004" spans="13:28" s="308" customFormat="1" x14ac:dyDescent="0.2">
      <c r="M5004" s="309"/>
      <c r="AB5004" s="310"/>
    </row>
    <row r="5005" spans="13:28" s="308" customFormat="1" x14ac:dyDescent="0.2">
      <c r="M5005" s="309"/>
      <c r="AB5005" s="310"/>
    </row>
    <row r="5006" spans="13:28" s="308" customFormat="1" x14ac:dyDescent="0.2">
      <c r="M5006" s="309"/>
      <c r="AB5006" s="310"/>
    </row>
    <row r="5007" spans="13:28" s="308" customFormat="1" x14ac:dyDescent="0.2">
      <c r="M5007" s="309"/>
      <c r="AB5007" s="310"/>
    </row>
    <row r="5008" spans="13:28" s="308" customFormat="1" x14ac:dyDescent="0.2">
      <c r="M5008" s="309"/>
      <c r="AB5008" s="310"/>
    </row>
    <row r="5009" spans="13:28" s="308" customFormat="1" x14ac:dyDescent="0.2">
      <c r="M5009" s="309"/>
      <c r="AB5009" s="310"/>
    </row>
    <row r="5010" spans="13:28" s="308" customFormat="1" x14ac:dyDescent="0.2">
      <c r="M5010" s="309"/>
      <c r="AB5010" s="310"/>
    </row>
    <row r="5011" spans="13:28" s="308" customFormat="1" x14ac:dyDescent="0.2">
      <c r="M5011" s="309"/>
      <c r="AB5011" s="310"/>
    </row>
    <row r="5012" spans="13:28" s="308" customFormat="1" x14ac:dyDescent="0.2">
      <c r="M5012" s="309"/>
      <c r="AB5012" s="310"/>
    </row>
    <row r="5013" spans="13:28" s="308" customFormat="1" x14ac:dyDescent="0.2">
      <c r="M5013" s="309"/>
      <c r="AB5013" s="310"/>
    </row>
    <row r="5014" spans="13:28" s="308" customFormat="1" x14ac:dyDescent="0.2">
      <c r="M5014" s="309"/>
      <c r="AB5014" s="310"/>
    </row>
    <row r="5015" spans="13:28" s="308" customFormat="1" x14ac:dyDescent="0.2">
      <c r="M5015" s="309"/>
      <c r="AB5015" s="310"/>
    </row>
    <row r="5016" spans="13:28" s="308" customFormat="1" x14ac:dyDescent="0.2">
      <c r="M5016" s="309"/>
      <c r="AB5016" s="310"/>
    </row>
    <row r="5017" spans="13:28" s="308" customFormat="1" x14ac:dyDescent="0.2">
      <c r="M5017" s="309"/>
      <c r="AB5017" s="310"/>
    </row>
    <row r="5018" spans="13:28" s="308" customFormat="1" x14ac:dyDescent="0.2">
      <c r="M5018" s="309"/>
      <c r="AB5018" s="310"/>
    </row>
    <row r="5019" spans="13:28" s="308" customFormat="1" x14ac:dyDescent="0.2">
      <c r="M5019" s="309"/>
      <c r="AB5019" s="310"/>
    </row>
    <row r="5020" spans="13:28" s="308" customFormat="1" x14ac:dyDescent="0.2">
      <c r="M5020" s="309"/>
      <c r="AB5020" s="310"/>
    </row>
    <row r="5021" spans="13:28" s="308" customFormat="1" x14ac:dyDescent="0.2">
      <c r="M5021" s="309"/>
      <c r="AB5021" s="310"/>
    </row>
    <row r="5022" spans="13:28" s="308" customFormat="1" x14ac:dyDescent="0.2">
      <c r="M5022" s="309"/>
      <c r="AB5022" s="310"/>
    </row>
    <row r="5023" spans="13:28" s="308" customFormat="1" x14ac:dyDescent="0.2">
      <c r="M5023" s="309"/>
      <c r="AB5023" s="310"/>
    </row>
    <row r="5024" spans="13:28" s="308" customFormat="1" x14ac:dyDescent="0.2">
      <c r="M5024" s="309"/>
      <c r="AB5024" s="310"/>
    </row>
    <row r="5025" spans="13:28" s="308" customFormat="1" x14ac:dyDescent="0.2">
      <c r="M5025" s="309"/>
      <c r="AB5025" s="310"/>
    </row>
    <row r="5026" spans="13:28" s="308" customFormat="1" x14ac:dyDescent="0.2">
      <c r="M5026" s="309"/>
      <c r="AB5026" s="310"/>
    </row>
    <row r="5027" spans="13:28" s="308" customFormat="1" x14ac:dyDescent="0.2">
      <c r="M5027" s="309"/>
      <c r="AB5027" s="310"/>
    </row>
    <row r="5028" spans="13:28" s="308" customFormat="1" x14ac:dyDescent="0.2">
      <c r="M5028" s="309"/>
      <c r="AB5028" s="310"/>
    </row>
    <row r="5029" spans="13:28" s="308" customFormat="1" x14ac:dyDescent="0.2">
      <c r="M5029" s="309"/>
      <c r="AB5029" s="310"/>
    </row>
    <row r="5030" spans="13:28" s="308" customFormat="1" x14ac:dyDescent="0.2">
      <c r="M5030" s="309"/>
      <c r="AB5030" s="310"/>
    </row>
    <row r="5031" spans="13:28" s="308" customFormat="1" x14ac:dyDescent="0.2">
      <c r="M5031" s="309"/>
      <c r="AB5031" s="310"/>
    </row>
    <row r="5032" spans="13:28" s="308" customFormat="1" x14ac:dyDescent="0.2">
      <c r="M5032" s="309"/>
      <c r="AB5032" s="310"/>
    </row>
    <row r="5033" spans="13:28" s="308" customFormat="1" x14ac:dyDescent="0.2">
      <c r="M5033" s="309"/>
      <c r="AB5033" s="310"/>
    </row>
    <row r="5034" spans="13:28" s="308" customFormat="1" x14ac:dyDescent="0.2">
      <c r="M5034" s="309"/>
      <c r="AB5034" s="310"/>
    </row>
    <row r="5035" spans="13:28" s="308" customFormat="1" x14ac:dyDescent="0.2">
      <c r="M5035" s="309"/>
      <c r="AB5035" s="310"/>
    </row>
    <row r="5036" spans="13:28" s="308" customFormat="1" x14ac:dyDescent="0.2">
      <c r="M5036" s="309"/>
      <c r="AB5036" s="310"/>
    </row>
    <row r="5037" spans="13:28" s="308" customFormat="1" x14ac:dyDescent="0.2">
      <c r="M5037" s="309"/>
      <c r="AB5037" s="310"/>
    </row>
    <row r="5038" spans="13:28" s="308" customFormat="1" x14ac:dyDescent="0.2">
      <c r="M5038" s="309"/>
      <c r="AB5038" s="310"/>
    </row>
    <row r="5039" spans="13:28" s="308" customFormat="1" x14ac:dyDescent="0.2">
      <c r="M5039" s="309"/>
      <c r="AB5039" s="310"/>
    </row>
    <row r="5040" spans="13:28" s="308" customFormat="1" x14ac:dyDescent="0.2">
      <c r="M5040" s="309"/>
      <c r="AB5040" s="310"/>
    </row>
    <row r="5041" spans="13:28" s="308" customFormat="1" x14ac:dyDescent="0.2">
      <c r="M5041" s="309"/>
      <c r="AB5041" s="310"/>
    </row>
    <row r="5042" spans="13:28" s="308" customFormat="1" x14ac:dyDescent="0.2">
      <c r="M5042" s="309"/>
      <c r="AB5042" s="310"/>
    </row>
    <row r="5043" spans="13:28" s="308" customFormat="1" x14ac:dyDescent="0.2">
      <c r="M5043" s="309"/>
      <c r="AB5043" s="310"/>
    </row>
    <row r="5044" spans="13:28" s="308" customFormat="1" x14ac:dyDescent="0.2">
      <c r="M5044" s="309"/>
      <c r="AB5044" s="310"/>
    </row>
    <row r="5045" spans="13:28" s="308" customFormat="1" x14ac:dyDescent="0.2">
      <c r="M5045" s="309"/>
      <c r="AB5045" s="310"/>
    </row>
    <row r="5046" spans="13:28" s="308" customFormat="1" x14ac:dyDescent="0.2">
      <c r="M5046" s="309"/>
      <c r="AB5046" s="310"/>
    </row>
    <row r="5047" spans="13:28" s="308" customFormat="1" x14ac:dyDescent="0.2">
      <c r="M5047" s="309"/>
      <c r="AB5047" s="310"/>
    </row>
    <row r="5048" spans="13:28" s="308" customFormat="1" x14ac:dyDescent="0.2">
      <c r="M5048" s="309"/>
      <c r="AB5048" s="310"/>
    </row>
    <row r="5049" spans="13:28" s="308" customFormat="1" x14ac:dyDescent="0.2">
      <c r="M5049" s="309"/>
      <c r="AB5049" s="310"/>
    </row>
    <row r="5050" spans="13:28" s="308" customFormat="1" x14ac:dyDescent="0.2">
      <c r="M5050" s="309"/>
      <c r="AB5050" s="310"/>
    </row>
    <row r="5051" spans="13:28" s="308" customFormat="1" x14ac:dyDescent="0.2">
      <c r="M5051" s="309"/>
      <c r="AB5051" s="310"/>
    </row>
    <row r="5052" spans="13:28" s="308" customFormat="1" x14ac:dyDescent="0.2">
      <c r="M5052" s="309"/>
      <c r="AB5052" s="310"/>
    </row>
    <row r="5053" spans="13:28" s="308" customFormat="1" x14ac:dyDescent="0.2">
      <c r="M5053" s="309"/>
      <c r="AB5053" s="310"/>
    </row>
    <row r="5054" spans="13:28" s="308" customFormat="1" x14ac:dyDescent="0.2">
      <c r="M5054" s="309"/>
      <c r="AB5054" s="310"/>
    </row>
    <row r="5055" spans="13:28" s="308" customFormat="1" x14ac:dyDescent="0.2">
      <c r="M5055" s="309"/>
      <c r="AB5055" s="310"/>
    </row>
    <row r="5056" spans="13:28" s="308" customFormat="1" x14ac:dyDescent="0.2">
      <c r="M5056" s="309"/>
      <c r="AB5056" s="310"/>
    </row>
    <row r="5057" spans="13:28" s="308" customFormat="1" x14ac:dyDescent="0.2">
      <c r="M5057" s="309"/>
      <c r="AB5057" s="310"/>
    </row>
    <row r="5058" spans="13:28" s="308" customFormat="1" x14ac:dyDescent="0.2">
      <c r="M5058" s="309"/>
      <c r="AB5058" s="310"/>
    </row>
    <row r="5059" spans="13:28" s="308" customFormat="1" x14ac:dyDescent="0.2">
      <c r="M5059" s="309"/>
      <c r="AB5059" s="310"/>
    </row>
    <row r="5060" spans="13:28" s="308" customFormat="1" x14ac:dyDescent="0.2">
      <c r="M5060" s="309"/>
      <c r="AB5060" s="310"/>
    </row>
    <row r="5061" spans="13:28" s="308" customFormat="1" x14ac:dyDescent="0.2">
      <c r="M5061" s="309"/>
      <c r="AB5061" s="310"/>
    </row>
    <row r="5062" spans="13:28" s="308" customFormat="1" x14ac:dyDescent="0.2">
      <c r="M5062" s="309"/>
      <c r="AB5062" s="310"/>
    </row>
    <row r="5063" spans="13:28" s="308" customFormat="1" x14ac:dyDescent="0.2">
      <c r="M5063" s="309"/>
      <c r="AB5063" s="310"/>
    </row>
    <row r="5064" spans="13:28" s="308" customFormat="1" x14ac:dyDescent="0.2">
      <c r="M5064" s="309"/>
      <c r="AB5064" s="310"/>
    </row>
    <row r="5065" spans="13:28" s="308" customFormat="1" x14ac:dyDescent="0.2">
      <c r="M5065" s="309"/>
      <c r="AB5065" s="310"/>
    </row>
    <row r="5066" spans="13:28" s="308" customFormat="1" x14ac:dyDescent="0.2">
      <c r="M5066" s="309"/>
      <c r="AB5066" s="310"/>
    </row>
    <row r="5067" spans="13:28" s="308" customFormat="1" x14ac:dyDescent="0.2">
      <c r="M5067" s="309"/>
      <c r="AB5067" s="310"/>
    </row>
    <row r="5068" spans="13:28" s="308" customFormat="1" x14ac:dyDescent="0.2">
      <c r="M5068" s="309"/>
      <c r="AB5068" s="310"/>
    </row>
    <row r="5069" spans="13:28" s="308" customFormat="1" x14ac:dyDescent="0.2">
      <c r="M5069" s="309"/>
      <c r="AB5069" s="310"/>
    </row>
    <row r="5070" spans="13:28" s="308" customFormat="1" x14ac:dyDescent="0.2">
      <c r="M5070" s="309"/>
      <c r="AB5070" s="310"/>
    </row>
    <row r="5071" spans="13:28" s="308" customFormat="1" x14ac:dyDescent="0.2">
      <c r="M5071" s="309"/>
      <c r="AB5071" s="310"/>
    </row>
    <row r="5072" spans="13:28" s="308" customFormat="1" x14ac:dyDescent="0.2">
      <c r="M5072" s="309"/>
      <c r="AB5072" s="310"/>
    </row>
    <row r="5073" spans="13:28" s="308" customFormat="1" x14ac:dyDescent="0.2">
      <c r="M5073" s="309"/>
      <c r="AB5073" s="310"/>
    </row>
    <row r="5074" spans="13:28" s="308" customFormat="1" x14ac:dyDescent="0.2">
      <c r="M5074" s="309"/>
      <c r="AB5074" s="310"/>
    </row>
    <row r="5075" spans="13:28" s="308" customFormat="1" x14ac:dyDescent="0.2">
      <c r="M5075" s="309"/>
      <c r="AB5075" s="310"/>
    </row>
    <row r="5076" spans="13:28" s="308" customFormat="1" x14ac:dyDescent="0.2">
      <c r="M5076" s="309"/>
      <c r="AB5076" s="310"/>
    </row>
    <row r="5077" spans="13:28" s="308" customFormat="1" x14ac:dyDescent="0.2">
      <c r="M5077" s="309"/>
      <c r="AB5077" s="310"/>
    </row>
    <row r="5078" spans="13:28" s="308" customFormat="1" x14ac:dyDescent="0.2">
      <c r="M5078" s="309"/>
      <c r="AB5078" s="310"/>
    </row>
    <row r="5079" spans="13:28" s="308" customFormat="1" x14ac:dyDescent="0.2">
      <c r="M5079" s="309"/>
      <c r="AB5079" s="310"/>
    </row>
    <row r="5080" spans="13:28" s="308" customFormat="1" x14ac:dyDescent="0.2">
      <c r="M5080" s="309"/>
      <c r="AB5080" s="310"/>
    </row>
    <row r="5081" spans="13:28" s="308" customFormat="1" x14ac:dyDescent="0.2">
      <c r="M5081" s="309"/>
      <c r="AB5081" s="310"/>
    </row>
    <row r="5082" spans="13:28" s="308" customFormat="1" x14ac:dyDescent="0.2">
      <c r="M5082" s="309"/>
      <c r="AB5082" s="310"/>
    </row>
    <row r="5083" spans="13:28" s="308" customFormat="1" x14ac:dyDescent="0.2">
      <c r="M5083" s="309"/>
      <c r="AB5083" s="310"/>
    </row>
    <row r="5084" spans="13:28" s="308" customFormat="1" x14ac:dyDescent="0.2">
      <c r="M5084" s="309"/>
      <c r="AB5084" s="310"/>
    </row>
    <row r="5085" spans="13:28" s="308" customFormat="1" x14ac:dyDescent="0.2">
      <c r="M5085" s="309"/>
      <c r="AB5085" s="310"/>
    </row>
    <row r="5086" spans="13:28" s="308" customFormat="1" x14ac:dyDescent="0.2">
      <c r="M5086" s="309"/>
      <c r="AB5086" s="310"/>
    </row>
    <row r="5087" spans="13:28" s="308" customFormat="1" x14ac:dyDescent="0.2">
      <c r="M5087" s="309"/>
      <c r="AB5087" s="310"/>
    </row>
    <row r="5088" spans="13:28" s="308" customFormat="1" x14ac:dyDescent="0.2">
      <c r="M5088" s="309"/>
      <c r="AB5088" s="310"/>
    </row>
    <row r="5089" spans="13:28" s="308" customFormat="1" x14ac:dyDescent="0.2">
      <c r="M5089" s="309"/>
      <c r="AB5089" s="310"/>
    </row>
    <row r="5090" spans="13:28" s="308" customFormat="1" x14ac:dyDescent="0.2">
      <c r="M5090" s="309"/>
      <c r="AB5090" s="310"/>
    </row>
    <row r="5091" spans="13:28" s="308" customFormat="1" x14ac:dyDescent="0.2">
      <c r="M5091" s="309"/>
      <c r="AB5091" s="310"/>
    </row>
    <row r="5092" spans="13:28" s="308" customFormat="1" x14ac:dyDescent="0.2">
      <c r="M5092" s="309"/>
      <c r="AB5092" s="310"/>
    </row>
    <row r="5093" spans="13:28" s="308" customFormat="1" x14ac:dyDescent="0.2">
      <c r="M5093" s="309"/>
      <c r="AB5093" s="310"/>
    </row>
    <row r="5094" spans="13:28" s="308" customFormat="1" x14ac:dyDescent="0.2">
      <c r="M5094" s="309"/>
      <c r="AB5094" s="310"/>
    </row>
    <row r="5095" spans="13:28" s="308" customFormat="1" x14ac:dyDescent="0.2">
      <c r="M5095" s="309"/>
      <c r="AB5095" s="310"/>
    </row>
    <row r="5096" spans="13:28" s="308" customFormat="1" x14ac:dyDescent="0.2">
      <c r="M5096" s="309"/>
      <c r="AB5096" s="310"/>
    </row>
    <row r="5097" spans="13:28" s="308" customFormat="1" x14ac:dyDescent="0.2">
      <c r="M5097" s="309"/>
      <c r="AB5097" s="310"/>
    </row>
    <row r="5098" spans="13:28" s="308" customFormat="1" x14ac:dyDescent="0.2">
      <c r="M5098" s="309"/>
      <c r="AB5098" s="310"/>
    </row>
    <row r="5099" spans="13:28" s="308" customFormat="1" x14ac:dyDescent="0.2">
      <c r="M5099" s="309"/>
      <c r="AB5099" s="310"/>
    </row>
    <row r="5100" spans="13:28" s="308" customFormat="1" x14ac:dyDescent="0.2">
      <c r="M5100" s="309"/>
      <c r="AB5100" s="310"/>
    </row>
    <row r="5101" spans="13:28" s="308" customFormat="1" x14ac:dyDescent="0.2">
      <c r="M5101" s="309"/>
      <c r="AB5101" s="310"/>
    </row>
    <row r="5102" spans="13:28" s="308" customFormat="1" x14ac:dyDescent="0.2">
      <c r="M5102" s="309"/>
      <c r="AB5102" s="310"/>
    </row>
    <row r="5103" spans="13:28" s="308" customFormat="1" x14ac:dyDescent="0.2">
      <c r="M5103" s="309"/>
      <c r="AB5103" s="310"/>
    </row>
    <row r="5104" spans="13:28" s="308" customFormat="1" x14ac:dyDescent="0.2">
      <c r="M5104" s="309"/>
      <c r="AB5104" s="310"/>
    </row>
    <row r="5105" spans="13:28" s="308" customFormat="1" x14ac:dyDescent="0.2">
      <c r="M5105" s="309"/>
      <c r="AB5105" s="310"/>
    </row>
    <row r="5106" spans="13:28" s="308" customFormat="1" x14ac:dyDescent="0.2">
      <c r="M5106" s="309"/>
      <c r="AB5106" s="310"/>
    </row>
    <row r="5107" spans="13:28" s="308" customFormat="1" x14ac:dyDescent="0.2">
      <c r="M5107" s="309"/>
      <c r="AB5107" s="310"/>
    </row>
    <row r="5108" spans="13:28" s="308" customFormat="1" x14ac:dyDescent="0.2">
      <c r="M5108" s="309"/>
      <c r="AB5108" s="310"/>
    </row>
    <row r="5109" spans="13:28" s="308" customFormat="1" x14ac:dyDescent="0.2">
      <c r="M5109" s="309"/>
      <c r="AB5109" s="310"/>
    </row>
    <row r="5110" spans="13:28" s="308" customFormat="1" x14ac:dyDescent="0.2">
      <c r="M5110" s="309"/>
      <c r="AB5110" s="310"/>
    </row>
    <row r="5111" spans="13:28" s="308" customFormat="1" x14ac:dyDescent="0.2">
      <c r="M5111" s="309"/>
      <c r="AB5111" s="310"/>
    </row>
    <row r="5112" spans="13:28" s="308" customFormat="1" x14ac:dyDescent="0.2">
      <c r="M5112" s="309"/>
      <c r="AB5112" s="310"/>
    </row>
    <row r="5113" spans="13:28" s="308" customFormat="1" x14ac:dyDescent="0.2">
      <c r="M5113" s="309"/>
      <c r="AB5113" s="310"/>
    </row>
    <row r="5114" spans="13:28" s="308" customFormat="1" x14ac:dyDescent="0.2">
      <c r="M5114" s="309"/>
      <c r="AB5114" s="310"/>
    </row>
    <row r="5115" spans="13:28" s="308" customFormat="1" x14ac:dyDescent="0.2">
      <c r="M5115" s="309"/>
      <c r="AB5115" s="310"/>
    </row>
    <row r="5116" spans="13:28" s="308" customFormat="1" x14ac:dyDescent="0.2">
      <c r="M5116" s="309"/>
      <c r="AB5116" s="310"/>
    </row>
    <row r="5117" spans="13:28" s="308" customFormat="1" x14ac:dyDescent="0.2">
      <c r="M5117" s="309"/>
      <c r="AB5117" s="310"/>
    </row>
    <row r="5118" spans="13:28" s="308" customFormat="1" x14ac:dyDescent="0.2">
      <c r="M5118" s="309"/>
      <c r="AB5118" s="310"/>
    </row>
    <row r="5119" spans="13:28" s="308" customFormat="1" x14ac:dyDescent="0.2">
      <c r="M5119" s="309"/>
      <c r="AB5119" s="310"/>
    </row>
    <row r="5120" spans="13:28" s="308" customFormat="1" x14ac:dyDescent="0.2">
      <c r="M5120" s="309"/>
      <c r="AB5120" s="310"/>
    </row>
    <row r="5121" spans="13:28" s="308" customFormat="1" x14ac:dyDescent="0.2">
      <c r="M5121" s="309"/>
      <c r="AB5121" s="310"/>
    </row>
    <row r="5122" spans="13:28" s="308" customFormat="1" x14ac:dyDescent="0.2">
      <c r="M5122" s="309"/>
      <c r="AB5122" s="310"/>
    </row>
    <row r="5123" spans="13:28" s="308" customFormat="1" x14ac:dyDescent="0.2">
      <c r="M5123" s="309"/>
      <c r="AB5123" s="310"/>
    </row>
    <row r="5124" spans="13:28" s="308" customFormat="1" x14ac:dyDescent="0.2">
      <c r="M5124" s="309"/>
      <c r="AB5124" s="310"/>
    </row>
    <row r="5125" spans="13:28" s="308" customFormat="1" x14ac:dyDescent="0.2">
      <c r="M5125" s="309"/>
      <c r="AB5125" s="310"/>
    </row>
    <row r="5126" spans="13:28" s="308" customFormat="1" x14ac:dyDescent="0.2">
      <c r="M5126" s="309"/>
      <c r="AB5126" s="310"/>
    </row>
    <row r="5127" spans="13:28" s="308" customFormat="1" x14ac:dyDescent="0.2">
      <c r="M5127" s="309"/>
      <c r="AB5127" s="310"/>
    </row>
    <row r="5128" spans="13:28" s="308" customFormat="1" x14ac:dyDescent="0.2">
      <c r="M5128" s="309"/>
      <c r="AB5128" s="310"/>
    </row>
    <row r="5129" spans="13:28" s="308" customFormat="1" x14ac:dyDescent="0.2">
      <c r="M5129" s="309"/>
      <c r="AB5129" s="310"/>
    </row>
    <row r="5130" spans="13:28" s="308" customFormat="1" x14ac:dyDescent="0.2">
      <c r="M5130" s="309"/>
      <c r="AB5130" s="310"/>
    </row>
    <row r="5131" spans="13:28" s="308" customFormat="1" x14ac:dyDescent="0.2">
      <c r="M5131" s="309"/>
      <c r="AB5131" s="310"/>
    </row>
    <row r="5132" spans="13:28" s="308" customFormat="1" x14ac:dyDescent="0.2">
      <c r="M5132" s="309"/>
      <c r="AB5132" s="310"/>
    </row>
    <row r="5133" spans="13:28" s="308" customFormat="1" x14ac:dyDescent="0.2">
      <c r="M5133" s="309"/>
      <c r="AB5133" s="310"/>
    </row>
    <row r="5134" spans="13:28" s="308" customFormat="1" x14ac:dyDescent="0.2">
      <c r="M5134" s="309"/>
      <c r="AB5134" s="310"/>
    </row>
    <row r="5135" spans="13:28" s="308" customFormat="1" x14ac:dyDescent="0.2">
      <c r="M5135" s="309"/>
      <c r="AB5135" s="310"/>
    </row>
    <row r="5136" spans="13:28" s="308" customFormat="1" x14ac:dyDescent="0.2">
      <c r="M5136" s="309"/>
      <c r="AB5136" s="310"/>
    </row>
    <row r="5137" spans="13:28" s="308" customFormat="1" x14ac:dyDescent="0.2">
      <c r="M5137" s="309"/>
      <c r="AB5137" s="310"/>
    </row>
    <row r="5138" spans="13:28" s="308" customFormat="1" x14ac:dyDescent="0.2">
      <c r="M5138" s="309"/>
      <c r="AB5138" s="310"/>
    </row>
    <row r="5139" spans="13:28" s="308" customFormat="1" x14ac:dyDescent="0.2">
      <c r="M5139" s="309"/>
      <c r="AB5139" s="310"/>
    </row>
    <row r="5140" spans="13:28" s="308" customFormat="1" x14ac:dyDescent="0.2">
      <c r="M5140" s="309"/>
      <c r="AB5140" s="310"/>
    </row>
    <row r="5141" spans="13:28" s="308" customFormat="1" x14ac:dyDescent="0.2">
      <c r="M5141" s="309"/>
      <c r="AB5141" s="310"/>
    </row>
    <row r="5142" spans="13:28" s="308" customFormat="1" x14ac:dyDescent="0.2">
      <c r="M5142" s="309"/>
      <c r="AB5142" s="310"/>
    </row>
    <row r="5143" spans="13:28" s="308" customFormat="1" x14ac:dyDescent="0.2">
      <c r="M5143" s="309"/>
      <c r="AB5143" s="310"/>
    </row>
    <row r="5144" spans="13:28" s="308" customFormat="1" x14ac:dyDescent="0.2">
      <c r="M5144" s="309"/>
      <c r="AB5144" s="310"/>
    </row>
    <row r="5145" spans="13:28" s="308" customFormat="1" x14ac:dyDescent="0.2">
      <c r="M5145" s="309"/>
      <c r="AB5145" s="310"/>
    </row>
    <row r="5146" spans="13:28" s="308" customFormat="1" x14ac:dyDescent="0.2">
      <c r="M5146" s="309"/>
      <c r="AB5146" s="310"/>
    </row>
    <row r="5147" spans="13:28" s="308" customFormat="1" x14ac:dyDescent="0.2">
      <c r="M5147" s="309"/>
      <c r="AB5147" s="310"/>
    </row>
    <row r="5148" spans="13:28" s="308" customFormat="1" x14ac:dyDescent="0.2">
      <c r="M5148" s="309"/>
      <c r="AB5148" s="310"/>
    </row>
    <row r="5149" spans="13:28" s="308" customFormat="1" x14ac:dyDescent="0.2">
      <c r="M5149" s="309"/>
      <c r="AB5149" s="310"/>
    </row>
    <row r="5150" spans="13:28" s="308" customFormat="1" x14ac:dyDescent="0.2">
      <c r="M5150" s="309"/>
      <c r="AB5150" s="310"/>
    </row>
    <row r="5151" spans="13:28" s="308" customFormat="1" x14ac:dyDescent="0.2">
      <c r="M5151" s="309"/>
      <c r="AB5151" s="310"/>
    </row>
    <row r="5152" spans="13:28" s="308" customFormat="1" x14ac:dyDescent="0.2">
      <c r="M5152" s="309"/>
      <c r="AB5152" s="310"/>
    </row>
    <row r="5153" spans="13:28" s="308" customFormat="1" x14ac:dyDescent="0.2">
      <c r="M5153" s="309"/>
      <c r="AB5153" s="310"/>
    </row>
    <row r="5154" spans="13:28" s="308" customFormat="1" x14ac:dyDescent="0.2">
      <c r="M5154" s="309"/>
      <c r="AB5154" s="310"/>
    </row>
    <row r="5155" spans="13:28" s="308" customFormat="1" x14ac:dyDescent="0.2">
      <c r="M5155" s="309"/>
      <c r="AB5155" s="310"/>
    </row>
    <row r="5156" spans="13:28" s="308" customFormat="1" x14ac:dyDescent="0.2">
      <c r="M5156" s="309"/>
      <c r="AB5156" s="310"/>
    </row>
    <row r="5157" spans="13:28" s="308" customFormat="1" x14ac:dyDescent="0.2">
      <c r="M5157" s="309"/>
      <c r="AB5157" s="310"/>
    </row>
    <row r="5158" spans="13:28" s="308" customFormat="1" x14ac:dyDescent="0.2">
      <c r="M5158" s="309"/>
      <c r="AB5158" s="310"/>
    </row>
    <row r="5159" spans="13:28" s="308" customFormat="1" x14ac:dyDescent="0.2">
      <c r="M5159" s="309"/>
      <c r="AB5159" s="310"/>
    </row>
    <row r="5160" spans="13:28" s="308" customFormat="1" x14ac:dyDescent="0.2">
      <c r="M5160" s="309"/>
      <c r="AB5160" s="310"/>
    </row>
    <row r="5161" spans="13:28" s="308" customFormat="1" x14ac:dyDescent="0.2">
      <c r="M5161" s="309"/>
      <c r="AB5161" s="310"/>
    </row>
    <row r="5162" spans="13:28" s="308" customFormat="1" x14ac:dyDescent="0.2">
      <c r="M5162" s="309"/>
      <c r="AB5162" s="310"/>
    </row>
    <row r="5163" spans="13:28" s="308" customFormat="1" x14ac:dyDescent="0.2">
      <c r="M5163" s="309"/>
      <c r="AB5163" s="310"/>
    </row>
    <row r="5164" spans="13:28" s="308" customFormat="1" x14ac:dyDescent="0.2">
      <c r="M5164" s="309"/>
      <c r="AB5164" s="310"/>
    </row>
    <row r="5165" spans="13:28" s="308" customFormat="1" x14ac:dyDescent="0.2">
      <c r="M5165" s="309"/>
      <c r="AB5165" s="310"/>
    </row>
    <row r="5166" spans="13:28" s="308" customFormat="1" x14ac:dyDescent="0.2">
      <c r="M5166" s="309"/>
      <c r="AB5166" s="310"/>
    </row>
    <row r="5167" spans="13:28" s="308" customFormat="1" x14ac:dyDescent="0.2">
      <c r="M5167" s="309"/>
      <c r="AB5167" s="310"/>
    </row>
    <row r="5168" spans="13:28" s="308" customFormat="1" x14ac:dyDescent="0.2">
      <c r="M5168" s="309"/>
      <c r="AB5168" s="310"/>
    </row>
    <row r="5169" spans="13:28" s="308" customFormat="1" x14ac:dyDescent="0.2">
      <c r="M5169" s="309"/>
      <c r="AB5169" s="310"/>
    </row>
    <row r="5170" spans="13:28" s="308" customFormat="1" x14ac:dyDescent="0.2">
      <c r="M5170" s="309"/>
      <c r="AB5170" s="310"/>
    </row>
    <row r="5171" spans="13:28" s="308" customFormat="1" x14ac:dyDescent="0.2">
      <c r="M5171" s="309"/>
      <c r="AB5171" s="310"/>
    </row>
    <row r="5172" spans="13:28" s="308" customFormat="1" x14ac:dyDescent="0.2">
      <c r="M5172" s="309"/>
      <c r="AB5172" s="310"/>
    </row>
    <row r="5173" spans="13:28" s="308" customFormat="1" x14ac:dyDescent="0.2">
      <c r="M5173" s="309"/>
      <c r="AB5173" s="310"/>
    </row>
    <row r="5174" spans="13:28" s="308" customFormat="1" x14ac:dyDescent="0.2">
      <c r="M5174" s="309"/>
      <c r="AB5174" s="310"/>
    </row>
    <row r="5175" spans="13:28" s="308" customFormat="1" x14ac:dyDescent="0.2">
      <c r="M5175" s="309"/>
      <c r="AB5175" s="310"/>
    </row>
    <row r="5176" spans="13:28" s="308" customFormat="1" x14ac:dyDescent="0.2">
      <c r="M5176" s="309"/>
      <c r="AB5176" s="310"/>
    </row>
    <row r="5177" spans="13:28" s="308" customFormat="1" x14ac:dyDescent="0.2">
      <c r="M5177" s="309"/>
      <c r="AB5177" s="310"/>
    </row>
    <row r="5178" spans="13:28" s="308" customFormat="1" x14ac:dyDescent="0.2">
      <c r="M5178" s="309"/>
      <c r="AB5178" s="310"/>
    </row>
    <row r="5179" spans="13:28" s="308" customFormat="1" x14ac:dyDescent="0.2">
      <c r="M5179" s="309"/>
      <c r="AB5179" s="310"/>
    </row>
    <row r="5180" spans="13:28" s="308" customFormat="1" x14ac:dyDescent="0.2">
      <c r="M5180" s="309"/>
      <c r="AB5180" s="310"/>
    </row>
    <row r="5181" spans="13:28" s="308" customFormat="1" x14ac:dyDescent="0.2">
      <c r="M5181" s="309"/>
      <c r="AB5181" s="310"/>
    </row>
    <row r="5182" spans="13:28" s="308" customFormat="1" x14ac:dyDescent="0.2">
      <c r="M5182" s="309"/>
      <c r="AB5182" s="310"/>
    </row>
    <row r="5183" spans="13:28" s="308" customFormat="1" x14ac:dyDescent="0.2">
      <c r="M5183" s="309"/>
      <c r="AB5183" s="310"/>
    </row>
    <row r="5184" spans="13:28" s="308" customFormat="1" x14ac:dyDescent="0.2">
      <c r="M5184" s="309"/>
      <c r="AB5184" s="310"/>
    </row>
    <row r="5185" spans="13:28" s="308" customFormat="1" x14ac:dyDescent="0.2">
      <c r="M5185" s="309"/>
      <c r="AB5185" s="310"/>
    </row>
    <row r="5186" spans="13:28" s="308" customFormat="1" x14ac:dyDescent="0.2">
      <c r="M5186" s="309"/>
      <c r="AB5186" s="310"/>
    </row>
    <row r="5187" spans="13:28" s="308" customFormat="1" x14ac:dyDescent="0.2">
      <c r="M5187" s="309"/>
      <c r="AB5187" s="310"/>
    </row>
    <row r="5188" spans="13:28" s="308" customFormat="1" x14ac:dyDescent="0.2">
      <c r="M5188" s="309"/>
      <c r="AB5188" s="310"/>
    </row>
    <row r="5189" spans="13:28" s="308" customFormat="1" x14ac:dyDescent="0.2">
      <c r="M5189" s="309"/>
      <c r="AB5189" s="310"/>
    </row>
    <row r="5190" spans="13:28" s="308" customFormat="1" x14ac:dyDescent="0.2">
      <c r="M5190" s="309"/>
      <c r="AB5190" s="310"/>
    </row>
    <row r="5191" spans="13:28" s="308" customFormat="1" x14ac:dyDescent="0.2">
      <c r="M5191" s="309"/>
      <c r="AB5191" s="310"/>
    </row>
    <row r="5192" spans="13:28" s="308" customFormat="1" x14ac:dyDescent="0.2">
      <c r="M5192" s="309"/>
      <c r="AB5192" s="310"/>
    </row>
    <row r="5193" spans="13:28" s="308" customFormat="1" x14ac:dyDescent="0.2">
      <c r="M5193" s="309"/>
      <c r="AB5193" s="310"/>
    </row>
    <row r="5194" spans="13:28" s="308" customFormat="1" x14ac:dyDescent="0.2">
      <c r="M5194" s="309"/>
      <c r="AB5194" s="310"/>
    </row>
    <row r="5195" spans="13:28" s="308" customFormat="1" x14ac:dyDescent="0.2">
      <c r="M5195" s="309"/>
      <c r="AB5195" s="310"/>
    </row>
    <row r="5196" spans="13:28" s="308" customFormat="1" x14ac:dyDescent="0.2">
      <c r="M5196" s="309"/>
      <c r="AB5196" s="310"/>
    </row>
    <row r="5197" spans="13:28" s="308" customFormat="1" x14ac:dyDescent="0.2">
      <c r="M5197" s="309"/>
      <c r="AB5197" s="310"/>
    </row>
    <row r="5198" spans="13:28" s="308" customFormat="1" x14ac:dyDescent="0.2">
      <c r="M5198" s="309"/>
      <c r="AB5198" s="310"/>
    </row>
    <row r="5199" spans="13:28" s="308" customFormat="1" x14ac:dyDescent="0.2">
      <c r="M5199" s="309"/>
      <c r="AB5199" s="310"/>
    </row>
    <row r="5200" spans="13:28" s="308" customFormat="1" x14ac:dyDescent="0.2">
      <c r="M5200" s="309"/>
      <c r="AB5200" s="310"/>
    </row>
    <row r="5201" spans="13:28" s="308" customFormat="1" x14ac:dyDescent="0.2">
      <c r="M5201" s="309"/>
      <c r="AB5201" s="310"/>
    </row>
    <row r="5202" spans="13:28" s="308" customFormat="1" x14ac:dyDescent="0.2">
      <c r="M5202" s="309"/>
      <c r="AB5202" s="310"/>
    </row>
    <row r="5203" spans="13:28" s="308" customFormat="1" x14ac:dyDescent="0.2">
      <c r="M5203" s="309"/>
      <c r="AB5203" s="310"/>
    </row>
    <row r="5204" spans="13:28" s="308" customFormat="1" x14ac:dyDescent="0.2">
      <c r="M5204" s="309"/>
      <c r="AB5204" s="310"/>
    </row>
    <row r="5205" spans="13:28" s="308" customFormat="1" x14ac:dyDescent="0.2">
      <c r="M5205" s="309"/>
      <c r="AB5205" s="310"/>
    </row>
    <row r="5206" spans="13:28" s="308" customFormat="1" x14ac:dyDescent="0.2">
      <c r="M5206" s="309"/>
      <c r="AB5206" s="310"/>
    </row>
    <row r="5207" spans="13:28" s="308" customFormat="1" x14ac:dyDescent="0.2">
      <c r="M5207" s="309"/>
      <c r="AB5207" s="310"/>
    </row>
    <row r="5208" spans="13:28" s="308" customFormat="1" x14ac:dyDescent="0.2">
      <c r="M5208" s="309"/>
      <c r="AB5208" s="310"/>
    </row>
    <row r="5209" spans="13:28" s="308" customFormat="1" x14ac:dyDescent="0.2">
      <c r="M5209" s="309"/>
      <c r="AB5209" s="310"/>
    </row>
    <row r="5210" spans="13:28" s="308" customFormat="1" x14ac:dyDescent="0.2">
      <c r="M5210" s="309"/>
      <c r="AB5210" s="310"/>
    </row>
    <row r="5211" spans="13:28" s="308" customFormat="1" x14ac:dyDescent="0.2">
      <c r="M5211" s="309"/>
      <c r="AB5211" s="310"/>
    </row>
    <row r="5212" spans="13:28" s="308" customFormat="1" x14ac:dyDescent="0.2">
      <c r="M5212" s="309"/>
      <c r="AB5212" s="310"/>
    </row>
    <row r="5213" spans="13:28" s="308" customFormat="1" x14ac:dyDescent="0.2">
      <c r="M5213" s="309"/>
      <c r="AB5213" s="310"/>
    </row>
    <row r="5214" spans="13:28" s="308" customFormat="1" x14ac:dyDescent="0.2">
      <c r="M5214" s="309"/>
      <c r="AB5214" s="310"/>
    </row>
    <row r="5215" spans="13:28" s="308" customFormat="1" x14ac:dyDescent="0.2">
      <c r="M5215" s="309"/>
      <c r="AB5215" s="310"/>
    </row>
    <row r="5216" spans="13:28" s="308" customFormat="1" x14ac:dyDescent="0.2">
      <c r="M5216" s="309"/>
      <c r="AB5216" s="310"/>
    </row>
    <row r="5217" spans="13:28" s="308" customFormat="1" x14ac:dyDescent="0.2">
      <c r="M5217" s="309"/>
      <c r="AB5217" s="310"/>
    </row>
    <row r="5218" spans="13:28" s="308" customFormat="1" x14ac:dyDescent="0.2">
      <c r="M5218" s="309"/>
      <c r="AB5218" s="310"/>
    </row>
    <row r="5219" spans="13:28" s="308" customFormat="1" x14ac:dyDescent="0.2">
      <c r="M5219" s="309"/>
      <c r="AB5219" s="310"/>
    </row>
    <row r="5220" spans="13:28" s="308" customFormat="1" x14ac:dyDescent="0.2">
      <c r="M5220" s="309"/>
      <c r="AB5220" s="310"/>
    </row>
    <row r="5221" spans="13:28" s="308" customFormat="1" x14ac:dyDescent="0.2">
      <c r="M5221" s="309"/>
      <c r="AB5221" s="310"/>
    </row>
    <row r="5222" spans="13:28" s="308" customFormat="1" x14ac:dyDescent="0.2">
      <c r="M5222" s="309"/>
      <c r="AB5222" s="310"/>
    </row>
    <row r="5223" spans="13:28" s="308" customFormat="1" x14ac:dyDescent="0.2">
      <c r="M5223" s="309"/>
      <c r="AB5223" s="310"/>
    </row>
    <row r="5224" spans="13:28" s="308" customFormat="1" x14ac:dyDescent="0.2">
      <c r="M5224" s="309"/>
      <c r="AB5224" s="310"/>
    </row>
    <row r="5225" spans="13:28" s="308" customFormat="1" x14ac:dyDescent="0.2">
      <c r="M5225" s="309"/>
      <c r="AB5225" s="310"/>
    </row>
    <row r="5226" spans="13:28" s="308" customFormat="1" x14ac:dyDescent="0.2">
      <c r="M5226" s="309"/>
      <c r="AB5226" s="310"/>
    </row>
    <row r="5227" spans="13:28" s="308" customFormat="1" x14ac:dyDescent="0.2">
      <c r="M5227" s="309"/>
      <c r="AB5227" s="310"/>
    </row>
    <row r="5228" spans="13:28" s="308" customFormat="1" x14ac:dyDescent="0.2">
      <c r="M5228" s="309"/>
      <c r="AB5228" s="310"/>
    </row>
    <row r="5229" spans="13:28" s="308" customFormat="1" x14ac:dyDescent="0.2">
      <c r="M5229" s="309"/>
      <c r="AB5229" s="310"/>
    </row>
    <row r="5230" spans="13:28" s="308" customFormat="1" x14ac:dyDescent="0.2">
      <c r="M5230" s="309"/>
      <c r="AB5230" s="310"/>
    </row>
    <row r="5231" spans="13:28" s="308" customFormat="1" x14ac:dyDescent="0.2">
      <c r="M5231" s="309"/>
      <c r="AB5231" s="310"/>
    </row>
    <row r="5232" spans="13:28" s="308" customFormat="1" x14ac:dyDescent="0.2">
      <c r="M5232" s="309"/>
      <c r="AB5232" s="310"/>
    </row>
    <row r="5233" spans="13:28" s="308" customFormat="1" x14ac:dyDescent="0.2">
      <c r="M5233" s="309"/>
      <c r="AB5233" s="310"/>
    </row>
    <row r="5234" spans="13:28" s="308" customFormat="1" x14ac:dyDescent="0.2">
      <c r="M5234" s="309"/>
      <c r="AB5234" s="310"/>
    </row>
    <row r="5235" spans="13:28" s="308" customFormat="1" x14ac:dyDescent="0.2">
      <c r="M5235" s="309"/>
      <c r="AB5235" s="310"/>
    </row>
    <row r="5236" spans="13:28" s="308" customFormat="1" x14ac:dyDescent="0.2">
      <c r="M5236" s="309"/>
      <c r="AB5236" s="310"/>
    </row>
    <row r="5237" spans="13:28" s="308" customFormat="1" x14ac:dyDescent="0.2">
      <c r="M5237" s="309"/>
      <c r="AB5237" s="310"/>
    </row>
    <row r="5238" spans="13:28" s="308" customFormat="1" x14ac:dyDescent="0.2">
      <c r="M5238" s="309"/>
      <c r="AB5238" s="310"/>
    </row>
    <row r="5239" spans="13:28" s="308" customFormat="1" x14ac:dyDescent="0.2">
      <c r="M5239" s="309"/>
      <c r="AB5239" s="310"/>
    </row>
    <row r="5240" spans="13:28" s="308" customFormat="1" x14ac:dyDescent="0.2">
      <c r="M5240" s="309"/>
      <c r="AB5240" s="310"/>
    </row>
    <row r="5241" spans="13:28" s="308" customFormat="1" x14ac:dyDescent="0.2">
      <c r="M5241" s="309"/>
      <c r="AB5241" s="310"/>
    </row>
    <row r="5242" spans="13:28" s="308" customFormat="1" x14ac:dyDescent="0.2">
      <c r="M5242" s="309"/>
      <c r="AB5242" s="310"/>
    </row>
    <row r="5243" spans="13:28" s="308" customFormat="1" x14ac:dyDescent="0.2">
      <c r="M5243" s="309"/>
      <c r="AB5243" s="310"/>
    </row>
    <row r="5244" spans="13:28" s="308" customFormat="1" x14ac:dyDescent="0.2">
      <c r="M5244" s="309"/>
      <c r="AB5244" s="310"/>
    </row>
    <row r="5245" spans="13:28" s="308" customFormat="1" x14ac:dyDescent="0.2">
      <c r="M5245" s="309"/>
      <c r="AB5245" s="310"/>
    </row>
    <row r="5246" spans="13:28" s="308" customFormat="1" x14ac:dyDescent="0.2">
      <c r="M5246" s="309"/>
      <c r="AB5246" s="310"/>
    </row>
    <row r="5247" spans="13:28" s="308" customFormat="1" x14ac:dyDescent="0.2">
      <c r="M5247" s="309"/>
      <c r="AB5247" s="310"/>
    </row>
    <row r="5248" spans="13:28" s="308" customFormat="1" x14ac:dyDescent="0.2">
      <c r="M5248" s="309"/>
      <c r="AB5248" s="310"/>
    </row>
    <row r="5249" spans="13:28" s="308" customFormat="1" x14ac:dyDescent="0.2">
      <c r="M5249" s="309"/>
      <c r="AB5249" s="310"/>
    </row>
    <row r="5250" spans="13:28" s="308" customFormat="1" x14ac:dyDescent="0.2">
      <c r="M5250" s="309"/>
      <c r="AB5250" s="310"/>
    </row>
    <row r="5251" spans="13:28" s="308" customFormat="1" x14ac:dyDescent="0.2">
      <c r="M5251" s="309"/>
      <c r="AB5251" s="310"/>
    </row>
    <row r="5252" spans="13:28" s="308" customFormat="1" x14ac:dyDescent="0.2">
      <c r="M5252" s="309"/>
      <c r="AB5252" s="310"/>
    </row>
    <row r="5253" spans="13:28" s="308" customFormat="1" x14ac:dyDescent="0.2">
      <c r="M5253" s="309"/>
      <c r="AB5253" s="310"/>
    </row>
    <row r="5254" spans="13:28" s="308" customFormat="1" x14ac:dyDescent="0.2">
      <c r="M5254" s="309"/>
      <c r="AB5254" s="310"/>
    </row>
    <row r="5255" spans="13:28" s="308" customFormat="1" x14ac:dyDescent="0.2">
      <c r="M5255" s="309"/>
      <c r="AB5255" s="310"/>
    </row>
    <row r="5256" spans="13:28" s="308" customFormat="1" x14ac:dyDescent="0.2">
      <c r="M5256" s="309"/>
      <c r="AB5256" s="310"/>
    </row>
    <row r="5257" spans="13:28" s="308" customFormat="1" x14ac:dyDescent="0.2">
      <c r="M5257" s="309"/>
      <c r="AB5257" s="310"/>
    </row>
    <row r="5258" spans="13:28" s="308" customFormat="1" x14ac:dyDescent="0.2">
      <c r="M5258" s="309"/>
      <c r="AB5258" s="310"/>
    </row>
    <row r="5259" spans="13:28" s="308" customFormat="1" x14ac:dyDescent="0.2">
      <c r="M5259" s="309"/>
      <c r="AB5259" s="310"/>
    </row>
    <row r="5260" spans="13:28" s="308" customFormat="1" x14ac:dyDescent="0.2">
      <c r="M5260" s="309"/>
      <c r="AB5260" s="310"/>
    </row>
    <row r="5261" spans="13:28" s="308" customFormat="1" x14ac:dyDescent="0.2">
      <c r="M5261" s="309"/>
      <c r="AB5261" s="310"/>
    </row>
    <row r="5262" spans="13:28" s="308" customFormat="1" x14ac:dyDescent="0.2">
      <c r="M5262" s="309"/>
      <c r="AB5262" s="310"/>
    </row>
    <row r="5263" spans="13:28" s="308" customFormat="1" x14ac:dyDescent="0.2">
      <c r="M5263" s="309"/>
      <c r="AB5263" s="310"/>
    </row>
    <row r="5264" spans="13:28" s="308" customFormat="1" x14ac:dyDescent="0.2">
      <c r="M5264" s="309"/>
      <c r="AB5264" s="310"/>
    </row>
    <row r="5265" spans="13:28" s="308" customFormat="1" x14ac:dyDescent="0.2">
      <c r="M5265" s="309"/>
      <c r="AB5265" s="310"/>
    </row>
    <row r="5266" spans="13:28" s="308" customFormat="1" x14ac:dyDescent="0.2">
      <c r="M5266" s="309"/>
      <c r="AB5266" s="310"/>
    </row>
    <row r="5267" spans="13:28" s="308" customFormat="1" x14ac:dyDescent="0.2">
      <c r="M5267" s="309"/>
      <c r="AB5267" s="310"/>
    </row>
    <row r="5268" spans="13:28" s="308" customFormat="1" x14ac:dyDescent="0.2">
      <c r="M5268" s="309"/>
      <c r="AB5268" s="310"/>
    </row>
    <row r="5269" spans="13:28" s="308" customFormat="1" x14ac:dyDescent="0.2">
      <c r="M5269" s="309"/>
      <c r="AB5269" s="310"/>
    </row>
    <row r="5270" spans="13:28" s="308" customFormat="1" x14ac:dyDescent="0.2">
      <c r="M5270" s="309"/>
      <c r="AB5270" s="310"/>
    </row>
    <row r="5271" spans="13:28" s="308" customFormat="1" x14ac:dyDescent="0.2">
      <c r="M5271" s="309"/>
      <c r="AB5271" s="310"/>
    </row>
    <row r="5272" spans="13:28" s="308" customFormat="1" x14ac:dyDescent="0.2">
      <c r="M5272" s="309"/>
      <c r="AB5272" s="310"/>
    </row>
    <row r="5273" spans="13:28" s="308" customFormat="1" x14ac:dyDescent="0.2">
      <c r="M5273" s="309"/>
      <c r="AB5273" s="310"/>
    </row>
    <row r="5274" spans="13:28" s="308" customFormat="1" x14ac:dyDescent="0.2">
      <c r="M5274" s="309"/>
      <c r="AB5274" s="310"/>
    </row>
    <row r="5275" spans="13:28" s="308" customFormat="1" x14ac:dyDescent="0.2">
      <c r="M5275" s="309"/>
      <c r="AB5275" s="310"/>
    </row>
    <row r="5276" spans="13:28" s="308" customFormat="1" x14ac:dyDescent="0.2">
      <c r="M5276" s="309"/>
      <c r="AB5276" s="310"/>
    </row>
    <row r="5277" spans="13:28" s="308" customFormat="1" x14ac:dyDescent="0.2">
      <c r="M5277" s="309"/>
      <c r="AB5277" s="310"/>
    </row>
    <row r="5278" spans="13:28" s="308" customFormat="1" x14ac:dyDescent="0.2">
      <c r="M5278" s="309"/>
      <c r="AB5278" s="310"/>
    </row>
    <row r="5279" spans="13:28" s="308" customFormat="1" x14ac:dyDescent="0.2">
      <c r="M5279" s="309"/>
      <c r="AB5279" s="310"/>
    </row>
    <row r="5280" spans="13:28" s="308" customFormat="1" x14ac:dyDescent="0.2">
      <c r="M5280" s="309"/>
      <c r="AB5280" s="310"/>
    </row>
    <row r="5281" spans="13:28" s="308" customFormat="1" x14ac:dyDescent="0.2">
      <c r="M5281" s="309"/>
      <c r="AB5281" s="310"/>
    </row>
    <row r="5282" spans="13:28" s="308" customFormat="1" x14ac:dyDescent="0.2">
      <c r="M5282" s="309"/>
      <c r="AB5282" s="310"/>
    </row>
    <row r="5283" spans="13:28" s="308" customFormat="1" x14ac:dyDescent="0.2">
      <c r="M5283" s="309"/>
      <c r="AB5283" s="310"/>
    </row>
    <row r="5284" spans="13:28" s="308" customFormat="1" x14ac:dyDescent="0.2">
      <c r="M5284" s="309"/>
      <c r="AB5284" s="310"/>
    </row>
    <row r="5285" spans="13:28" s="308" customFormat="1" x14ac:dyDescent="0.2">
      <c r="M5285" s="309"/>
      <c r="AB5285" s="310"/>
    </row>
    <row r="5286" spans="13:28" s="308" customFormat="1" x14ac:dyDescent="0.2">
      <c r="M5286" s="309"/>
      <c r="AB5286" s="310"/>
    </row>
    <row r="5287" spans="13:28" s="308" customFormat="1" x14ac:dyDescent="0.2">
      <c r="M5287" s="309"/>
      <c r="AB5287" s="310"/>
    </row>
    <row r="5288" spans="13:28" s="308" customFormat="1" x14ac:dyDescent="0.2">
      <c r="M5288" s="309"/>
      <c r="AB5288" s="310"/>
    </row>
    <row r="5289" spans="13:28" s="308" customFormat="1" x14ac:dyDescent="0.2">
      <c r="M5289" s="309"/>
      <c r="AB5289" s="310"/>
    </row>
    <row r="5290" spans="13:28" s="308" customFormat="1" x14ac:dyDescent="0.2">
      <c r="M5290" s="309"/>
      <c r="AB5290" s="310"/>
    </row>
    <row r="5291" spans="13:28" s="308" customFormat="1" x14ac:dyDescent="0.2">
      <c r="M5291" s="309"/>
      <c r="AB5291" s="310"/>
    </row>
    <row r="5292" spans="13:28" s="308" customFormat="1" x14ac:dyDescent="0.2">
      <c r="M5292" s="309"/>
      <c r="AB5292" s="310"/>
    </row>
    <row r="5293" spans="13:28" s="308" customFormat="1" x14ac:dyDescent="0.2">
      <c r="M5293" s="309"/>
      <c r="AB5293" s="310"/>
    </row>
    <row r="5294" spans="13:28" s="308" customFormat="1" x14ac:dyDescent="0.2">
      <c r="M5294" s="309"/>
      <c r="AB5294" s="310"/>
    </row>
    <row r="5295" spans="13:28" s="308" customFormat="1" x14ac:dyDescent="0.2">
      <c r="M5295" s="309"/>
      <c r="AB5295" s="310"/>
    </row>
    <row r="5296" spans="13:28" s="308" customFormat="1" x14ac:dyDescent="0.2">
      <c r="M5296" s="309"/>
      <c r="AB5296" s="310"/>
    </row>
    <row r="5297" spans="13:28" s="308" customFormat="1" x14ac:dyDescent="0.2">
      <c r="M5297" s="309"/>
      <c r="AB5297" s="310"/>
    </row>
    <row r="5298" spans="13:28" s="308" customFormat="1" x14ac:dyDescent="0.2">
      <c r="M5298" s="309"/>
      <c r="AB5298" s="310"/>
    </row>
    <row r="5299" spans="13:28" s="308" customFormat="1" x14ac:dyDescent="0.2">
      <c r="M5299" s="309"/>
      <c r="AB5299" s="310"/>
    </row>
    <row r="5300" spans="13:28" s="308" customFormat="1" x14ac:dyDescent="0.2">
      <c r="M5300" s="309"/>
      <c r="AB5300" s="310"/>
    </row>
    <row r="5301" spans="13:28" s="308" customFormat="1" x14ac:dyDescent="0.2">
      <c r="M5301" s="309"/>
      <c r="AB5301" s="310"/>
    </row>
    <row r="5302" spans="13:28" s="308" customFormat="1" x14ac:dyDescent="0.2">
      <c r="M5302" s="309"/>
      <c r="AB5302" s="310"/>
    </row>
    <row r="5303" spans="13:28" s="308" customFormat="1" x14ac:dyDescent="0.2">
      <c r="M5303" s="309"/>
      <c r="AB5303" s="310"/>
    </row>
    <row r="5304" spans="13:28" s="308" customFormat="1" x14ac:dyDescent="0.2">
      <c r="M5304" s="309"/>
      <c r="AB5304" s="310"/>
    </row>
    <row r="5305" spans="13:28" s="308" customFormat="1" x14ac:dyDescent="0.2">
      <c r="M5305" s="309"/>
      <c r="AB5305" s="310"/>
    </row>
    <row r="5306" spans="13:28" s="308" customFormat="1" x14ac:dyDescent="0.2">
      <c r="M5306" s="309"/>
      <c r="AB5306" s="310"/>
    </row>
    <row r="5307" spans="13:28" s="308" customFormat="1" x14ac:dyDescent="0.2">
      <c r="M5307" s="309"/>
      <c r="AB5307" s="310"/>
    </row>
    <row r="5308" spans="13:28" s="308" customFormat="1" x14ac:dyDescent="0.2">
      <c r="M5308" s="309"/>
      <c r="AB5308" s="310"/>
    </row>
    <row r="5309" spans="13:28" s="308" customFormat="1" x14ac:dyDescent="0.2">
      <c r="M5309" s="309"/>
      <c r="AB5309" s="310"/>
    </row>
    <row r="5310" spans="13:28" s="308" customFormat="1" x14ac:dyDescent="0.2">
      <c r="M5310" s="309"/>
      <c r="AB5310" s="310"/>
    </row>
    <row r="5311" spans="13:28" s="308" customFormat="1" x14ac:dyDescent="0.2">
      <c r="M5311" s="309"/>
      <c r="AB5311" s="310"/>
    </row>
    <row r="5312" spans="13:28" s="308" customFormat="1" x14ac:dyDescent="0.2">
      <c r="M5312" s="309"/>
      <c r="AB5312" s="310"/>
    </row>
    <row r="5313" spans="13:28" s="308" customFormat="1" x14ac:dyDescent="0.2">
      <c r="M5313" s="309"/>
      <c r="AB5313" s="310"/>
    </row>
    <row r="5314" spans="13:28" s="308" customFormat="1" x14ac:dyDescent="0.2">
      <c r="M5314" s="309"/>
      <c r="AB5314" s="310"/>
    </row>
    <row r="5315" spans="13:28" s="308" customFormat="1" x14ac:dyDescent="0.2">
      <c r="M5315" s="309"/>
      <c r="AB5315" s="310"/>
    </row>
    <row r="5316" spans="13:28" s="308" customFormat="1" x14ac:dyDescent="0.2">
      <c r="M5316" s="309"/>
      <c r="AB5316" s="310"/>
    </row>
    <row r="5317" spans="13:28" s="308" customFormat="1" x14ac:dyDescent="0.2">
      <c r="M5317" s="309"/>
      <c r="AB5317" s="310"/>
    </row>
    <row r="5318" spans="13:28" s="308" customFormat="1" x14ac:dyDescent="0.2">
      <c r="M5318" s="309"/>
      <c r="AB5318" s="310"/>
    </row>
    <row r="5319" spans="13:28" s="308" customFormat="1" x14ac:dyDescent="0.2">
      <c r="M5319" s="309"/>
      <c r="AB5319" s="310"/>
    </row>
    <row r="5320" spans="13:28" s="308" customFormat="1" x14ac:dyDescent="0.2">
      <c r="M5320" s="309"/>
      <c r="AB5320" s="310"/>
    </row>
    <row r="5321" spans="13:28" s="308" customFormat="1" x14ac:dyDescent="0.2">
      <c r="M5321" s="309"/>
      <c r="AB5321" s="310"/>
    </row>
    <row r="5322" spans="13:28" s="308" customFormat="1" x14ac:dyDescent="0.2">
      <c r="M5322" s="309"/>
      <c r="AB5322" s="310"/>
    </row>
    <row r="5323" spans="13:28" s="308" customFormat="1" x14ac:dyDescent="0.2">
      <c r="M5323" s="309"/>
      <c r="AB5323" s="310"/>
    </row>
    <row r="5324" spans="13:28" s="308" customFormat="1" x14ac:dyDescent="0.2">
      <c r="M5324" s="309"/>
      <c r="AB5324" s="310"/>
    </row>
    <row r="5325" spans="13:28" s="308" customFormat="1" x14ac:dyDescent="0.2">
      <c r="M5325" s="309"/>
      <c r="AB5325" s="310"/>
    </row>
    <row r="5326" spans="13:28" s="308" customFormat="1" x14ac:dyDescent="0.2">
      <c r="M5326" s="309"/>
      <c r="AB5326" s="310"/>
    </row>
    <row r="5327" spans="13:28" s="308" customFormat="1" x14ac:dyDescent="0.2">
      <c r="M5327" s="309"/>
      <c r="AB5327" s="310"/>
    </row>
    <row r="5328" spans="13:28" s="308" customFormat="1" x14ac:dyDescent="0.2">
      <c r="M5328" s="309"/>
      <c r="AB5328" s="310"/>
    </row>
    <row r="5329" spans="13:28" s="308" customFormat="1" x14ac:dyDescent="0.2">
      <c r="M5329" s="309"/>
      <c r="AB5329" s="310"/>
    </row>
    <row r="5330" spans="13:28" s="308" customFormat="1" x14ac:dyDescent="0.2">
      <c r="M5330" s="309"/>
      <c r="AB5330" s="310"/>
    </row>
    <row r="5331" spans="13:28" s="308" customFormat="1" x14ac:dyDescent="0.2">
      <c r="M5331" s="309"/>
      <c r="AB5331" s="310"/>
    </row>
    <row r="5332" spans="13:28" s="308" customFormat="1" x14ac:dyDescent="0.2">
      <c r="M5332" s="309"/>
      <c r="AB5332" s="310"/>
    </row>
    <row r="5333" spans="13:28" s="308" customFormat="1" x14ac:dyDescent="0.2">
      <c r="M5333" s="309"/>
      <c r="AB5333" s="310"/>
    </row>
    <row r="5334" spans="13:28" s="308" customFormat="1" x14ac:dyDescent="0.2">
      <c r="M5334" s="309"/>
      <c r="AB5334" s="310"/>
    </row>
    <row r="5335" spans="13:28" s="308" customFormat="1" x14ac:dyDescent="0.2">
      <c r="M5335" s="309"/>
      <c r="AB5335" s="310"/>
    </row>
    <row r="5336" spans="13:28" s="308" customFormat="1" x14ac:dyDescent="0.2">
      <c r="M5336" s="309"/>
      <c r="AB5336" s="310"/>
    </row>
    <row r="5337" spans="13:28" s="308" customFormat="1" x14ac:dyDescent="0.2">
      <c r="M5337" s="309"/>
      <c r="AB5337" s="310"/>
    </row>
    <row r="5338" spans="13:28" s="308" customFormat="1" x14ac:dyDescent="0.2">
      <c r="M5338" s="309"/>
      <c r="AB5338" s="310"/>
    </row>
    <row r="5339" spans="13:28" s="308" customFormat="1" x14ac:dyDescent="0.2">
      <c r="M5339" s="309"/>
      <c r="AB5339" s="310"/>
    </row>
    <row r="5340" spans="13:28" s="308" customFormat="1" x14ac:dyDescent="0.2">
      <c r="M5340" s="309"/>
      <c r="AB5340" s="310"/>
    </row>
    <row r="5341" spans="13:28" s="308" customFormat="1" x14ac:dyDescent="0.2">
      <c r="M5341" s="309"/>
      <c r="AB5341" s="310"/>
    </row>
    <row r="5342" spans="13:28" s="308" customFormat="1" x14ac:dyDescent="0.2">
      <c r="M5342" s="309"/>
      <c r="AB5342" s="310"/>
    </row>
    <row r="5343" spans="13:28" s="308" customFormat="1" x14ac:dyDescent="0.2">
      <c r="M5343" s="309"/>
      <c r="AB5343" s="310"/>
    </row>
    <row r="5344" spans="13:28" s="308" customFormat="1" x14ac:dyDescent="0.2">
      <c r="M5344" s="309"/>
      <c r="AB5344" s="310"/>
    </row>
    <row r="5345" spans="13:28" s="308" customFormat="1" x14ac:dyDescent="0.2">
      <c r="M5345" s="309"/>
      <c r="AB5345" s="310"/>
    </row>
    <row r="5346" spans="13:28" s="308" customFormat="1" x14ac:dyDescent="0.2">
      <c r="M5346" s="309"/>
      <c r="AB5346" s="310"/>
    </row>
    <row r="5347" spans="13:28" s="308" customFormat="1" x14ac:dyDescent="0.2">
      <c r="M5347" s="309"/>
      <c r="AB5347" s="310"/>
    </row>
    <row r="5348" spans="13:28" s="308" customFormat="1" x14ac:dyDescent="0.2">
      <c r="M5348" s="309"/>
      <c r="AB5348" s="310"/>
    </row>
    <row r="5349" spans="13:28" s="308" customFormat="1" x14ac:dyDescent="0.2">
      <c r="M5349" s="309"/>
      <c r="AB5349" s="310"/>
    </row>
    <row r="5350" spans="13:28" s="308" customFormat="1" x14ac:dyDescent="0.2">
      <c r="M5350" s="309"/>
      <c r="AB5350" s="310"/>
    </row>
    <row r="5351" spans="13:28" s="308" customFormat="1" x14ac:dyDescent="0.2">
      <c r="M5351" s="309"/>
      <c r="AB5351" s="310"/>
    </row>
    <row r="5352" spans="13:28" s="308" customFormat="1" x14ac:dyDescent="0.2">
      <c r="M5352" s="309"/>
      <c r="AB5352" s="310"/>
    </row>
    <row r="5353" spans="13:28" s="308" customFormat="1" x14ac:dyDescent="0.2">
      <c r="M5353" s="309"/>
      <c r="AB5353" s="310"/>
    </row>
    <row r="5354" spans="13:28" s="308" customFormat="1" x14ac:dyDescent="0.2">
      <c r="M5354" s="309"/>
      <c r="AB5354" s="310"/>
    </row>
    <row r="5355" spans="13:28" s="308" customFormat="1" x14ac:dyDescent="0.2">
      <c r="M5355" s="309"/>
      <c r="AB5355" s="310"/>
    </row>
    <row r="5356" spans="13:28" s="308" customFormat="1" x14ac:dyDescent="0.2">
      <c r="M5356" s="309"/>
      <c r="AB5356" s="310"/>
    </row>
    <row r="5357" spans="13:28" s="308" customFormat="1" x14ac:dyDescent="0.2">
      <c r="M5357" s="309"/>
      <c r="AB5357" s="310"/>
    </row>
    <row r="5358" spans="13:28" s="308" customFormat="1" x14ac:dyDescent="0.2">
      <c r="M5358" s="309"/>
      <c r="AB5358" s="310"/>
    </row>
    <row r="5359" spans="13:28" s="308" customFormat="1" x14ac:dyDescent="0.2">
      <c r="M5359" s="309"/>
      <c r="AB5359" s="310"/>
    </row>
    <row r="5360" spans="13:28" s="308" customFormat="1" x14ac:dyDescent="0.2">
      <c r="M5360" s="309"/>
      <c r="AB5360" s="310"/>
    </row>
    <row r="5361" spans="13:28" s="308" customFormat="1" x14ac:dyDescent="0.2">
      <c r="M5361" s="309"/>
      <c r="AB5361" s="310"/>
    </row>
    <row r="5362" spans="13:28" s="308" customFormat="1" x14ac:dyDescent="0.2">
      <c r="M5362" s="309"/>
      <c r="AB5362" s="310"/>
    </row>
    <row r="5363" spans="13:28" s="308" customFormat="1" x14ac:dyDescent="0.2">
      <c r="M5363" s="309"/>
      <c r="AB5363" s="310"/>
    </row>
    <row r="5364" spans="13:28" s="308" customFormat="1" x14ac:dyDescent="0.2">
      <c r="M5364" s="309"/>
      <c r="AB5364" s="310"/>
    </row>
    <row r="5365" spans="13:28" s="308" customFormat="1" x14ac:dyDescent="0.2">
      <c r="M5365" s="309"/>
      <c r="AB5365" s="310"/>
    </row>
    <row r="5366" spans="13:28" s="308" customFormat="1" x14ac:dyDescent="0.2">
      <c r="M5366" s="309"/>
      <c r="AB5366" s="310"/>
    </row>
    <row r="5367" spans="13:28" s="308" customFormat="1" x14ac:dyDescent="0.2">
      <c r="M5367" s="309"/>
      <c r="AB5367" s="310"/>
    </row>
    <row r="5368" spans="13:28" s="308" customFormat="1" x14ac:dyDescent="0.2">
      <c r="M5368" s="309"/>
      <c r="AB5368" s="310"/>
    </row>
    <row r="5369" spans="13:28" s="308" customFormat="1" x14ac:dyDescent="0.2">
      <c r="M5369" s="309"/>
      <c r="AB5369" s="310"/>
    </row>
    <row r="5370" spans="13:28" s="308" customFormat="1" x14ac:dyDescent="0.2">
      <c r="M5370" s="309"/>
      <c r="AB5370" s="310"/>
    </row>
    <row r="5371" spans="13:28" s="308" customFormat="1" x14ac:dyDescent="0.2">
      <c r="M5371" s="309"/>
      <c r="AB5371" s="310"/>
    </row>
    <row r="5372" spans="13:28" s="308" customFormat="1" x14ac:dyDescent="0.2">
      <c r="M5372" s="309"/>
      <c r="AB5372" s="310"/>
    </row>
    <row r="5373" spans="13:28" s="308" customFormat="1" x14ac:dyDescent="0.2">
      <c r="M5373" s="309"/>
      <c r="AB5373" s="310"/>
    </row>
    <row r="5374" spans="13:28" s="308" customFormat="1" x14ac:dyDescent="0.2">
      <c r="M5374" s="309"/>
      <c r="AB5374" s="310"/>
    </row>
    <row r="5375" spans="13:28" s="308" customFormat="1" x14ac:dyDescent="0.2">
      <c r="M5375" s="309"/>
      <c r="AB5375" s="310"/>
    </row>
    <row r="5376" spans="13:28" s="308" customFormat="1" x14ac:dyDescent="0.2">
      <c r="M5376" s="309"/>
      <c r="AB5376" s="310"/>
    </row>
    <row r="5377" spans="13:28" s="308" customFormat="1" x14ac:dyDescent="0.2">
      <c r="M5377" s="309"/>
      <c r="AB5377" s="310"/>
    </row>
    <row r="5378" spans="13:28" s="308" customFormat="1" x14ac:dyDescent="0.2">
      <c r="M5378" s="309"/>
      <c r="AB5378" s="310"/>
    </row>
    <row r="5379" spans="13:28" s="308" customFormat="1" x14ac:dyDescent="0.2">
      <c r="M5379" s="309"/>
      <c r="AB5379" s="310"/>
    </row>
    <row r="5380" spans="13:28" s="308" customFormat="1" x14ac:dyDescent="0.2">
      <c r="M5380" s="309"/>
      <c r="AB5380" s="310"/>
    </row>
    <row r="5381" spans="13:28" s="308" customFormat="1" x14ac:dyDescent="0.2">
      <c r="M5381" s="309"/>
      <c r="AB5381" s="310"/>
    </row>
    <row r="5382" spans="13:28" s="308" customFormat="1" x14ac:dyDescent="0.2">
      <c r="M5382" s="309"/>
      <c r="AB5382" s="310"/>
    </row>
    <row r="5383" spans="13:28" s="308" customFormat="1" x14ac:dyDescent="0.2">
      <c r="M5383" s="309"/>
      <c r="AB5383" s="310"/>
    </row>
    <row r="5384" spans="13:28" s="308" customFormat="1" x14ac:dyDescent="0.2">
      <c r="M5384" s="309"/>
      <c r="AB5384" s="310"/>
    </row>
    <row r="5385" spans="13:28" s="308" customFormat="1" x14ac:dyDescent="0.2">
      <c r="M5385" s="309"/>
      <c r="AB5385" s="310"/>
    </row>
    <row r="5386" spans="13:28" s="308" customFormat="1" x14ac:dyDescent="0.2">
      <c r="M5386" s="309"/>
      <c r="AB5386" s="310"/>
    </row>
    <row r="5387" spans="13:28" s="308" customFormat="1" x14ac:dyDescent="0.2">
      <c r="M5387" s="309"/>
      <c r="AB5387" s="310"/>
    </row>
    <row r="5388" spans="13:28" s="308" customFormat="1" x14ac:dyDescent="0.2">
      <c r="M5388" s="309"/>
      <c r="AB5388" s="310"/>
    </row>
    <row r="5389" spans="13:28" s="308" customFormat="1" x14ac:dyDescent="0.2">
      <c r="M5389" s="309"/>
      <c r="AB5389" s="310"/>
    </row>
    <row r="5390" spans="13:28" s="308" customFormat="1" x14ac:dyDescent="0.2">
      <c r="M5390" s="309"/>
      <c r="AB5390" s="310"/>
    </row>
    <row r="5391" spans="13:28" s="308" customFormat="1" x14ac:dyDescent="0.2">
      <c r="M5391" s="309"/>
      <c r="AB5391" s="310"/>
    </row>
    <row r="5392" spans="13:28" s="308" customFormat="1" x14ac:dyDescent="0.2">
      <c r="M5392" s="309"/>
      <c r="AB5392" s="310"/>
    </row>
    <row r="5393" spans="13:28" s="308" customFormat="1" x14ac:dyDescent="0.2">
      <c r="M5393" s="309"/>
      <c r="AB5393" s="310"/>
    </row>
    <row r="5394" spans="13:28" s="308" customFormat="1" x14ac:dyDescent="0.2">
      <c r="M5394" s="309"/>
      <c r="AB5394" s="310"/>
    </row>
    <row r="5395" spans="13:28" s="308" customFormat="1" x14ac:dyDescent="0.2">
      <c r="M5395" s="309"/>
      <c r="AB5395" s="310"/>
    </row>
    <row r="5396" spans="13:28" s="308" customFormat="1" x14ac:dyDescent="0.2">
      <c r="M5396" s="309"/>
      <c r="AB5396" s="310"/>
    </row>
    <row r="5397" spans="13:28" s="308" customFormat="1" x14ac:dyDescent="0.2">
      <c r="M5397" s="309"/>
      <c r="AB5397" s="310"/>
    </row>
    <row r="5398" spans="13:28" s="308" customFormat="1" x14ac:dyDescent="0.2">
      <c r="M5398" s="309"/>
      <c r="AB5398" s="310"/>
    </row>
    <row r="5399" spans="13:28" s="308" customFormat="1" x14ac:dyDescent="0.2">
      <c r="M5399" s="309"/>
      <c r="AB5399" s="310"/>
    </row>
    <row r="5400" spans="13:28" s="308" customFormat="1" x14ac:dyDescent="0.2">
      <c r="M5400" s="309"/>
      <c r="AB5400" s="310"/>
    </row>
    <row r="5401" spans="13:28" s="308" customFormat="1" x14ac:dyDescent="0.2">
      <c r="M5401" s="309"/>
      <c r="AB5401" s="310"/>
    </row>
    <row r="5402" spans="13:28" s="308" customFormat="1" x14ac:dyDescent="0.2">
      <c r="M5402" s="309"/>
      <c r="AB5402" s="310"/>
    </row>
    <row r="5403" spans="13:28" s="308" customFormat="1" x14ac:dyDescent="0.2">
      <c r="M5403" s="309"/>
      <c r="AB5403" s="310"/>
    </row>
    <row r="5404" spans="13:28" s="308" customFormat="1" x14ac:dyDescent="0.2">
      <c r="M5404" s="309"/>
      <c r="AB5404" s="310"/>
    </row>
    <row r="5405" spans="13:28" s="308" customFormat="1" x14ac:dyDescent="0.2">
      <c r="M5405" s="309"/>
      <c r="AB5405" s="310"/>
    </row>
    <row r="5406" spans="13:28" s="308" customFormat="1" x14ac:dyDescent="0.2">
      <c r="M5406" s="309"/>
      <c r="AB5406" s="310"/>
    </row>
    <row r="5407" spans="13:28" s="308" customFormat="1" x14ac:dyDescent="0.2">
      <c r="M5407" s="309"/>
      <c r="AB5407" s="310"/>
    </row>
    <row r="5408" spans="13:28" s="308" customFormat="1" x14ac:dyDescent="0.2">
      <c r="M5408" s="309"/>
      <c r="AB5408" s="310"/>
    </row>
    <row r="5409" spans="13:28" s="308" customFormat="1" x14ac:dyDescent="0.2">
      <c r="M5409" s="309"/>
      <c r="AB5409" s="310"/>
    </row>
    <row r="5410" spans="13:28" s="308" customFormat="1" x14ac:dyDescent="0.2">
      <c r="M5410" s="309"/>
      <c r="AB5410" s="310"/>
    </row>
    <row r="5411" spans="13:28" s="308" customFormat="1" x14ac:dyDescent="0.2">
      <c r="M5411" s="309"/>
      <c r="AB5411" s="310"/>
    </row>
    <row r="5412" spans="13:28" s="308" customFormat="1" x14ac:dyDescent="0.2">
      <c r="M5412" s="309"/>
      <c r="AB5412" s="310"/>
    </row>
    <row r="5413" spans="13:28" s="308" customFormat="1" x14ac:dyDescent="0.2">
      <c r="M5413" s="309"/>
      <c r="AB5413" s="310"/>
    </row>
    <row r="5414" spans="13:28" s="308" customFormat="1" x14ac:dyDescent="0.2">
      <c r="M5414" s="309"/>
      <c r="AB5414" s="310"/>
    </row>
    <row r="5415" spans="13:28" s="308" customFormat="1" x14ac:dyDescent="0.2">
      <c r="M5415" s="309"/>
      <c r="AB5415" s="310"/>
    </row>
    <row r="5416" spans="13:28" s="308" customFormat="1" x14ac:dyDescent="0.2">
      <c r="M5416" s="309"/>
      <c r="AB5416" s="310"/>
    </row>
    <row r="5417" spans="13:28" s="308" customFormat="1" x14ac:dyDescent="0.2">
      <c r="M5417" s="309"/>
      <c r="AB5417" s="310"/>
    </row>
    <row r="5418" spans="13:28" s="308" customFormat="1" x14ac:dyDescent="0.2">
      <c r="M5418" s="309"/>
      <c r="AB5418" s="310"/>
    </row>
    <row r="5419" spans="13:28" s="308" customFormat="1" x14ac:dyDescent="0.2">
      <c r="M5419" s="309"/>
      <c r="AB5419" s="310"/>
    </row>
    <row r="5420" spans="13:28" s="308" customFormat="1" x14ac:dyDescent="0.2">
      <c r="M5420" s="309"/>
      <c r="AB5420" s="310"/>
    </row>
    <row r="5421" spans="13:28" s="308" customFormat="1" x14ac:dyDescent="0.2">
      <c r="M5421" s="309"/>
      <c r="AB5421" s="310"/>
    </row>
    <row r="5422" spans="13:28" s="308" customFormat="1" x14ac:dyDescent="0.2">
      <c r="M5422" s="309"/>
      <c r="AB5422" s="310"/>
    </row>
    <row r="5423" spans="13:28" s="308" customFormat="1" x14ac:dyDescent="0.2">
      <c r="M5423" s="309"/>
      <c r="AB5423" s="310"/>
    </row>
    <row r="5424" spans="13:28" s="308" customFormat="1" x14ac:dyDescent="0.2">
      <c r="M5424" s="309"/>
      <c r="AB5424" s="310"/>
    </row>
    <row r="5425" spans="13:28" s="308" customFormat="1" x14ac:dyDescent="0.2">
      <c r="M5425" s="309"/>
      <c r="AB5425" s="310"/>
    </row>
    <row r="5426" spans="13:28" s="308" customFormat="1" x14ac:dyDescent="0.2">
      <c r="M5426" s="309"/>
      <c r="AB5426" s="310"/>
    </row>
    <row r="5427" spans="13:28" s="308" customFormat="1" x14ac:dyDescent="0.2">
      <c r="M5427" s="309"/>
      <c r="AB5427" s="310"/>
    </row>
    <row r="5428" spans="13:28" s="308" customFormat="1" x14ac:dyDescent="0.2">
      <c r="M5428" s="309"/>
      <c r="AB5428" s="310"/>
    </row>
    <row r="5429" spans="13:28" s="308" customFormat="1" x14ac:dyDescent="0.2">
      <c r="M5429" s="309"/>
      <c r="AB5429" s="310"/>
    </row>
    <row r="5430" spans="13:28" s="308" customFormat="1" x14ac:dyDescent="0.2">
      <c r="M5430" s="309"/>
      <c r="AB5430" s="310"/>
    </row>
    <row r="5431" spans="13:28" s="308" customFormat="1" x14ac:dyDescent="0.2">
      <c r="M5431" s="309"/>
      <c r="AB5431" s="310"/>
    </row>
    <row r="5432" spans="13:28" s="308" customFormat="1" x14ac:dyDescent="0.2">
      <c r="M5432" s="309"/>
      <c r="AB5432" s="310"/>
    </row>
    <row r="5433" spans="13:28" s="308" customFormat="1" x14ac:dyDescent="0.2">
      <c r="M5433" s="309"/>
      <c r="AB5433" s="310"/>
    </row>
    <row r="5434" spans="13:28" s="308" customFormat="1" x14ac:dyDescent="0.2">
      <c r="M5434" s="309"/>
      <c r="AB5434" s="310"/>
    </row>
    <row r="5435" spans="13:28" s="308" customFormat="1" x14ac:dyDescent="0.2">
      <c r="M5435" s="309"/>
      <c r="AB5435" s="310"/>
    </row>
    <row r="5436" spans="13:28" s="308" customFormat="1" x14ac:dyDescent="0.2">
      <c r="M5436" s="309"/>
      <c r="AB5436" s="310"/>
    </row>
    <row r="5437" spans="13:28" s="308" customFormat="1" x14ac:dyDescent="0.2">
      <c r="M5437" s="309"/>
      <c r="AB5437" s="310"/>
    </row>
    <row r="5438" spans="13:28" s="308" customFormat="1" x14ac:dyDescent="0.2">
      <c r="M5438" s="309"/>
      <c r="AB5438" s="310"/>
    </row>
    <row r="5439" spans="13:28" s="308" customFormat="1" x14ac:dyDescent="0.2">
      <c r="M5439" s="309"/>
      <c r="AB5439" s="310"/>
    </row>
    <row r="5440" spans="13:28" s="308" customFormat="1" x14ac:dyDescent="0.2">
      <c r="M5440" s="309"/>
      <c r="AB5440" s="310"/>
    </row>
    <row r="5441" spans="13:28" s="308" customFormat="1" x14ac:dyDescent="0.2">
      <c r="M5441" s="309"/>
      <c r="AB5441" s="310"/>
    </row>
    <row r="5442" spans="13:28" s="308" customFormat="1" x14ac:dyDescent="0.2">
      <c r="M5442" s="309"/>
      <c r="AB5442" s="310"/>
    </row>
    <row r="5443" spans="13:28" s="308" customFormat="1" x14ac:dyDescent="0.2">
      <c r="M5443" s="309"/>
      <c r="AB5443" s="310"/>
    </row>
    <row r="5444" spans="13:28" s="308" customFormat="1" x14ac:dyDescent="0.2">
      <c r="M5444" s="309"/>
      <c r="AB5444" s="310"/>
    </row>
    <row r="5445" spans="13:28" s="308" customFormat="1" x14ac:dyDescent="0.2">
      <c r="M5445" s="309"/>
      <c r="AB5445" s="310"/>
    </row>
    <row r="5446" spans="13:28" s="308" customFormat="1" x14ac:dyDescent="0.2">
      <c r="M5446" s="309"/>
      <c r="AB5446" s="310"/>
    </row>
    <row r="5447" spans="13:28" s="308" customFormat="1" x14ac:dyDescent="0.2">
      <c r="M5447" s="309"/>
      <c r="AB5447" s="310"/>
    </row>
    <row r="5448" spans="13:28" s="308" customFormat="1" x14ac:dyDescent="0.2">
      <c r="M5448" s="309"/>
      <c r="AB5448" s="310"/>
    </row>
    <row r="5449" spans="13:28" s="308" customFormat="1" x14ac:dyDescent="0.2">
      <c r="M5449" s="309"/>
      <c r="AB5449" s="310"/>
    </row>
    <row r="5450" spans="13:28" s="308" customFormat="1" x14ac:dyDescent="0.2">
      <c r="M5450" s="309"/>
      <c r="AB5450" s="310"/>
    </row>
    <row r="5451" spans="13:28" s="308" customFormat="1" x14ac:dyDescent="0.2">
      <c r="M5451" s="309"/>
      <c r="AB5451" s="310"/>
    </row>
    <row r="5452" spans="13:28" s="308" customFormat="1" x14ac:dyDescent="0.2">
      <c r="M5452" s="309"/>
      <c r="AB5452" s="310"/>
    </row>
    <row r="5453" spans="13:28" s="308" customFormat="1" x14ac:dyDescent="0.2">
      <c r="M5453" s="309"/>
      <c r="AB5453" s="310"/>
    </row>
    <row r="5454" spans="13:28" s="308" customFormat="1" x14ac:dyDescent="0.2">
      <c r="M5454" s="309"/>
      <c r="AB5454" s="310"/>
    </row>
    <row r="5455" spans="13:28" s="308" customFormat="1" x14ac:dyDescent="0.2">
      <c r="M5455" s="309"/>
      <c r="AB5455" s="310"/>
    </row>
    <row r="5456" spans="13:28" s="308" customFormat="1" x14ac:dyDescent="0.2">
      <c r="M5456" s="309"/>
      <c r="AB5456" s="310"/>
    </row>
    <row r="5457" spans="13:28" s="308" customFormat="1" x14ac:dyDescent="0.2">
      <c r="M5457" s="309"/>
      <c r="AB5457" s="310"/>
    </row>
    <row r="5458" spans="13:28" s="308" customFormat="1" x14ac:dyDescent="0.2">
      <c r="M5458" s="309"/>
      <c r="AB5458" s="310"/>
    </row>
    <row r="5459" spans="13:28" s="308" customFormat="1" x14ac:dyDescent="0.2">
      <c r="M5459" s="309"/>
      <c r="AB5459" s="310"/>
    </row>
    <row r="5460" spans="13:28" s="308" customFormat="1" x14ac:dyDescent="0.2">
      <c r="M5460" s="309"/>
      <c r="AB5460" s="310"/>
    </row>
    <row r="5461" spans="13:28" s="308" customFormat="1" x14ac:dyDescent="0.2">
      <c r="M5461" s="309"/>
      <c r="AB5461" s="310"/>
    </row>
    <row r="5462" spans="13:28" s="308" customFormat="1" x14ac:dyDescent="0.2">
      <c r="M5462" s="309"/>
      <c r="AB5462" s="310"/>
    </row>
    <row r="5463" spans="13:28" s="308" customFormat="1" x14ac:dyDescent="0.2">
      <c r="M5463" s="309"/>
      <c r="AB5463" s="310"/>
    </row>
    <row r="5464" spans="13:28" s="308" customFormat="1" x14ac:dyDescent="0.2">
      <c r="M5464" s="309"/>
      <c r="AB5464" s="310"/>
    </row>
    <row r="5465" spans="13:28" s="308" customFormat="1" x14ac:dyDescent="0.2">
      <c r="M5465" s="309"/>
      <c r="AB5465" s="310"/>
    </row>
    <row r="5466" spans="13:28" s="308" customFormat="1" x14ac:dyDescent="0.2">
      <c r="M5466" s="309"/>
      <c r="AB5466" s="310"/>
    </row>
    <row r="5467" spans="13:28" s="308" customFormat="1" x14ac:dyDescent="0.2">
      <c r="M5467" s="309"/>
      <c r="AB5467" s="310"/>
    </row>
    <row r="5468" spans="13:28" s="308" customFormat="1" x14ac:dyDescent="0.2">
      <c r="M5468" s="309"/>
      <c r="AB5468" s="310"/>
    </row>
    <row r="5469" spans="13:28" s="308" customFormat="1" x14ac:dyDescent="0.2">
      <c r="M5469" s="309"/>
      <c r="AB5469" s="310"/>
    </row>
    <row r="5470" spans="13:28" s="308" customFormat="1" x14ac:dyDescent="0.2">
      <c r="M5470" s="309"/>
      <c r="AB5470" s="310"/>
    </row>
    <row r="5471" spans="13:28" s="308" customFormat="1" x14ac:dyDescent="0.2">
      <c r="M5471" s="309"/>
      <c r="AB5471" s="310"/>
    </row>
    <row r="5472" spans="13:28" s="308" customFormat="1" x14ac:dyDescent="0.2">
      <c r="M5472" s="309"/>
      <c r="AB5472" s="310"/>
    </row>
    <row r="5473" spans="13:28" s="308" customFormat="1" x14ac:dyDescent="0.2">
      <c r="M5473" s="309"/>
      <c r="AB5473" s="310"/>
    </row>
    <row r="5474" spans="13:28" s="308" customFormat="1" x14ac:dyDescent="0.2">
      <c r="M5474" s="309"/>
      <c r="AB5474" s="310"/>
    </row>
    <row r="5475" spans="13:28" s="308" customFormat="1" x14ac:dyDescent="0.2">
      <c r="M5475" s="309"/>
      <c r="AB5475" s="310"/>
    </row>
    <row r="5476" spans="13:28" s="308" customFormat="1" x14ac:dyDescent="0.2">
      <c r="M5476" s="309"/>
      <c r="AB5476" s="310"/>
    </row>
    <row r="5477" spans="13:28" s="308" customFormat="1" x14ac:dyDescent="0.2">
      <c r="M5477" s="309"/>
      <c r="AB5477" s="310"/>
    </row>
    <row r="5478" spans="13:28" s="308" customFormat="1" x14ac:dyDescent="0.2">
      <c r="M5478" s="309"/>
      <c r="AB5478" s="310"/>
    </row>
    <row r="5479" spans="13:28" s="308" customFormat="1" x14ac:dyDescent="0.2">
      <c r="M5479" s="309"/>
      <c r="AB5479" s="310"/>
    </row>
    <row r="5480" spans="13:28" s="308" customFormat="1" x14ac:dyDescent="0.2">
      <c r="M5480" s="309"/>
      <c r="AB5480" s="310"/>
    </row>
    <row r="5481" spans="13:28" s="308" customFormat="1" x14ac:dyDescent="0.2">
      <c r="M5481" s="309"/>
      <c r="AB5481" s="310"/>
    </row>
    <row r="5482" spans="13:28" s="308" customFormat="1" x14ac:dyDescent="0.2">
      <c r="M5482" s="309"/>
      <c r="AB5482" s="310"/>
    </row>
    <row r="5483" spans="13:28" s="308" customFormat="1" x14ac:dyDescent="0.2">
      <c r="M5483" s="309"/>
      <c r="AB5483" s="310"/>
    </row>
    <row r="5484" spans="13:28" s="308" customFormat="1" x14ac:dyDescent="0.2">
      <c r="M5484" s="309"/>
      <c r="AB5484" s="310"/>
    </row>
    <row r="5485" spans="13:28" s="308" customFormat="1" x14ac:dyDescent="0.2">
      <c r="M5485" s="309"/>
      <c r="AB5485" s="310"/>
    </row>
    <row r="5486" spans="13:28" s="308" customFormat="1" x14ac:dyDescent="0.2">
      <c r="M5486" s="309"/>
      <c r="AB5486" s="310"/>
    </row>
    <row r="5487" spans="13:28" s="308" customFormat="1" x14ac:dyDescent="0.2">
      <c r="M5487" s="309"/>
      <c r="AB5487" s="310"/>
    </row>
    <row r="5488" spans="13:28" s="308" customFormat="1" x14ac:dyDescent="0.2">
      <c r="M5488" s="309"/>
      <c r="AB5488" s="310"/>
    </row>
    <row r="5489" spans="13:28" s="308" customFormat="1" x14ac:dyDescent="0.2">
      <c r="M5489" s="309"/>
      <c r="AB5489" s="310"/>
    </row>
    <row r="5490" spans="13:28" s="308" customFormat="1" x14ac:dyDescent="0.2">
      <c r="M5490" s="309"/>
      <c r="AB5490" s="310"/>
    </row>
    <row r="5491" spans="13:28" s="308" customFormat="1" x14ac:dyDescent="0.2">
      <c r="M5491" s="309"/>
      <c r="AB5491" s="310"/>
    </row>
    <row r="5492" spans="13:28" s="308" customFormat="1" x14ac:dyDescent="0.2">
      <c r="M5492" s="309"/>
      <c r="AB5492" s="310"/>
    </row>
    <row r="5493" spans="13:28" s="308" customFormat="1" x14ac:dyDescent="0.2">
      <c r="M5493" s="309"/>
      <c r="AB5493" s="310"/>
    </row>
    <row r="5494" spans="13:28" s="308" customFormat="1" x14ac:dyDescent="0.2">
      <c r="M5494" s="309"/>
      <c r="AB5494" s="310"/>
    </row>
    <row r="5495" spans="13:28" s="308" customFormat="1" x14ac:dyDescent="0.2">
      <c r="M5495" s="309"/>
      <c r="AB5495" s="310"/>
    </row>
    <row r="5496" spans="13:28" s="308" customFormat="1" x14ac:dyDescent="0.2">
      <c r="M5496" s="309"/>
      <c r="AB5496" s="310"/>
    </row>
    <row r="5497" spans="13:28" s="308" customFormat="1" x14ac:dyDescent="0.2">
      <c r="M5497" s="309"/>
      <c r="AB5497" s="310"/>
    </row>
    <row r="5498" spans="13:28" s="308" customFormat="1" x14ac:dyDescent="0.2">
      <c r="M5498" s="309"/>
      <c r="AB5498" s="310"/>
    </row>
    <row r="5499" spans="13:28" s="308" customFormat="1" x14ac:dyDescent="0.2">
      <c r="M5499" s="309"/>
      <c r="AB5499" s="310"/>
    </row>
    <row r="5500" spans="13:28" s="308" customFormat="1" x14ac:dyDescent="0.2">
      <c r="M5500" s="309"/>
      <c r="AB5500" s="310"/>
    </row>
    <row r="5501" spans="13:28" s="308" customFormat="1" x14ac:dyDescent="0.2">
      <c r="M5501" s="309"/>
      <c r="AB5501" s="310"/>
    </row>
    <row r="5502" spans="13:28" s="308" customFormat="1" x14ac:dyDescent="0.2">
      <c r="M5502" s="309"/>
      <c r="AB5502" s="310"/>
    </row>
    <row r="5503" spans="13:28" s="308" customFormat="1" x14ac:dyDescent="0.2">
      <c r="M5503" s="309"/>
      <c r="AB5503" s="310"/>
    </row>
    <row r="5504" spans="13:28" s="308" customFormat="1" x14ac:dyDescent="0.2">
      <c r="M5504" s="309"/>
      <c r="AB5504" s="310"/>
    </row>
    <row r="5505" spans="13:28" s="308" customFormat="1" x14ac:dyDescent="0.2">
      <c r="M5505" s="309"/>
      <c r="AB5505" s="310"/>
    </row>
    <row r="5506" spans="13:28" s="308" customFormat="1" x14ac:dyDescent="0.2">
      <c r="M5506" s="309"/>
      <c r="AB5506" s="310"/>
    </row>
    <row r="5507" spans="13:28" s="308" customFormat="1" x14ac:dyDescent="0.2">
      <c r="M5507" s="309"/>
      <c r="AB5507" s="310"/>
    </row>
    <row r="5508" spans="13:28" s="308" customFormat="1" x14ac:dyDescent="0.2">
      <c r="M5508" s="309"/>
      <c r="AB5508" s="310"/>
    </row>
    <row r="5509" spans="13:28" s="308" customFormat="1" x14ac:dyDescent="0.2">
      <c r="M5509" s="309"/>
      <c r="AB5509" s="310"/>
    </row>
    <row r="5510" spans="13:28" s="308" customFormat="1" x14ac:dyDescent="0.2">
      <c r="M5510" s="309"/>
      <c r="AB5510" s="310"/>
    </row>
    <row r="5511" spans="13:28" s="308" customFormat="1" x14ac:dyDescent="0.2">
      <c r="M5511" s="309"/>
      <c r="AB5511" s="310"/>
    </row>
    <row r="5512" spans="13:28" s="308" customFormat="1" x14ac:dyDescent="0.2">
      <c r="M5512" s="309"/>
      <c r="AB5512" s="310"/>
    </row>
    <row r="5513" spans="13:28" s="308" customFormat="1" x14ac:dyDescent="0.2">
      <c r="M5513" s="309"/>
      <c r="AB5513" s="310"/>
    </row>
    <row r="5514" spans="13:28" s="308" customFormat="1" x14ac:dyDescent="0.2">
      <c r="M5514" s="309"/>
      <c r="AB5514" s="310"/>
    </row>
    <row r="5515" spans="13:28" s="308" customFormat="1" x14ac:dyDescent="0.2">
      <c r="M5515" s="309"/>
      <c r="AB5515" s="310"/>
    </row>
    <row r="5516" spans="13:28" s="308" customFormat="1" x14ac:dyDescent="0.2">
      <c r="M5516" s="309"/>
      <c r="AB5516" s="310"/>
    </row>
    <row r="5517" spans="13:28" s="308" customFormat="1" x14ac:dyDescent="0.2">
      <c r="M5517" s="309"/>
      <c r="AB5517" s="310"/>
    </row>
    <row r="5518" spans="13:28" s="308" customFormat="1" x14ac:dyDescent="0.2">
      <c r="M5518" s="309"/>
      <c r="AB5518" s="310"/>
    </row>
    <row r="5519" spans="13:28" s="308" customFormat="1" x14ac:dyDescent="0.2">
      <c r="M5519" s="309"/>
      <c r="AB5519" s="310"/>
    </row>
    <row r="5520" spans="13:28" s="308" customFormat="1" x14ac:dyDescent="0.2">
      <c r="M5520" s="309"/>
      <c r="AB5520" s="310"/>
    </row>
    <row r="5521" spans="13:28" s="308" customFormat="1" x14ac:dyDescent="0.2">
      <c r="M5521" s="309"/>
      <c r="AB5521" s="310"/>
    </row>
    <row r="5522" spans="13:28" s="308" customFormat="1" x14ac:dyDescent="0.2">
      <c r="M5522" s="309"/>
      <c r="AB5522" s="310"/>
    </row>
    <row r="5523" spans="13:28" s="308" customFormat="1" x14ac:dyDescent="0.2">
      <c r="M5523" s="309"/>
      <c r="AB5523" s="310"/>
    </row>
    <row r="5524" spans="13:28" s="308" customFormat="1" x14ac:dyDescent="0.2">
      <c r="M5524" s="309"/>
      <c r="AB5524" s="310"/>
    </row>
    <row r="5525" spans="13:28" s="308" customFormat="1" x14ac:dyDescent="0.2">
      <c r="M5525" s="309"/>
      <c r="AB5525" s="310"/>
    </row>
    <row r="5526" spans="13:28" s="308" customFormat="1" x14ac:dyDescent="0.2">
      <c r="M5526" s="309"/>
      <c r="AB5526" s="310"/>
    </row>
    <row r="5527" spans="13:28" s="308" customFormat="1" x14ac:dyDescent="0.2">
      <c r="M5527" s="309"/>
      <c r="AB5527" s="310"/>
    </row>
    <row r="5528" spans="13:28" s="308" customFormat="1" x14ac:dyDescent="0.2">
      <c r="M5528" s="309"/>
      <c r="AB5528" s="310"/>
    </row>
    <row r="5529" spans="13:28" s="308" customFormat="1" x14ac:dyDescent="0.2">
      <c r="M5529" s="309"/>
      <c r="AB5529" s="310"/>
    </row>
    <row r="5530" spans="13:28" s="308" customFormat="1" x14ac:dyDescent="0.2">
      <c r="M5530" s="309"/>
      <c r="AB5530" s="310"/>
    </row>
    <row r="5531" spans="13:28" s="308" customFormat="1" x14ac:dyDescent="0.2">
      <c r="M5531" s="309"/>
      <c r="AB5531" s="310"/>
    </row>
    <row r="5532" spans="13:28" s="308" customFormat="1" x14ac:dyDescent="0.2">
      <c r="M5532" s="309"/>
      <c r="AB5532" s="310"/>
    </row>
    <row r="5533" spans="13:28" s="308" customFormat="1" x14ac:dyDescent="0.2">
      <c r="M5533" s="309"/>
      <c r="AB5533" s="310"/>
    </row>
    <row r="5534" spans="13:28" s="308" customFormat="1" x14ac:dyDescent="0.2">
      <c r="M5534" s="309"/>
      <c r="AB5534" s="310"/>
    </row>
    <row r="5535" spans="13:28" s="308" customFormat="1" x14ac:dyDescent="0.2">
      <c r="M5535" s="309"/>
      <c r="AB5535" s="310"/>
    </row>
    <row r="5536" spans="13:28" s="308" customFormat="1" x14ac:dyDescent="0.2">
      <c r="M5536" s="309"/>
      <c r="AB5536" s="310"/>
    </row>
    <row r="5537" spans="13:28" s="308" customFormat="1" x14ac:dyDescent="0.2">
      <c r="M5537" s="309"/>
      <c r="AB5537" s="310"/>
    </row>
    <row r="5538" spans="13:28" s="308" customFormat="1" x14ac:dyDescent="0.2">
      <c r="M5538" s="309"/>
      <c r="AB5538" s="310"/>
    </row>
    <row r="5539" spans="13:28" s="308" customFormat="1" x14ac:dyDescent="0.2">
      <c r="M5539" s="309"/>
      <c r="AB5539" s="310"/>
    </row>
    <row r="5540" spans="13:28" s="308" customFormat="1" x14ac:dyDescent="0.2">
      <c r="M5540" s="309"/>
      <c r="AB5540" s="310"/>
    </row>
    <row r="5541" spans="13:28" s="308" customFormat="1" x14ac:dyDescent="0.2">
      <c r="M5541" s="309"/>
      <c r="AB5541" s="310"/>
    </row>
    <row r="5542" spans="13:28" s="308" customFormat="1" x14ac:dyDescent="0.2">
      <c r="M5542" s="309"/>
      <c r="AB5542" s="310"/>
    </row>
    <row r="5543" spans="13:28" s="308" customFormat="1" x14ac:dyDescent="0.2">
      <c r="M5543" s="309"/>
      <c r="AB5543" s="310"/>
    </row>
    <row r="5544" spans="13:28" s="308" customFormat="1" x14ac:dyDescent="0.2">
      <c r="M5544" s="309"/>
      <c r="AB5544" s="310"/>
    </row>
    <row r="5545" spans="13:28" s="308" customFormat="1" x14ac:dyDescent="0.2">
      <c r="M5545" s="309"/>
      <c r="AB5545" s="310"/>
    </row>
    <row r="5546" spans="13:28" s="308" customFormat="1" x14ac:dyDescent="0.2">
      <c r="M5546" s="309"/>
      <c r="AB5546" s="310"/>
    </row>
    <row r="5547" spans="13:28" s="308" customFormat="1" x14ac:dyDescent="0.2">
      <c r="M5547" s="309"/>
      <c r="AB5547" s="310"/>
    </row>
    <row r="5548" spans="13:28" s="308" customFormat="1" x14ac:dyDescent="0.2">
      <c r="M5548" s="309"/>
      <c r="AB5548" s="310"/>
    </row>
    <row r="5549" spans="13:28" s="308" customFormat="1" x14ac:dyDescent="0.2">
      <c r="M5549" s="309"/>
      <c r="AB5549" s="310"/>
    </row>
    <row r="5550" spans="13:28" s="308" customFormat="1" x14ac:dyDescent="0.2">
      <c r="M5550" s="309"/>
      <c r="AB5550" s="310"/>
    </row>
    <row r="5551" spans="13:28" s="308" customFormat="1" x14ac:dyDescent="0.2">
      <c r="M5551" s="309"/>
      <c r="AB5551" s="310"/>
    </row>
    <row r="5552" spans="13:28" s="308" customFormat="1" x14ac:dyDescent="0.2">
      <c r="M5552" s="309"/>
      <c r="AB5552" s="310"/>
    </row>
    <row r="5553" spans="13:28" s="308" customFormat="1" x14ac:dyDescent="0.2">
      <c r="M5553" s="309"/>
      <c r="AB5553" s="310"/>
    </row>
    <row r="5554" spans="13:28" s="308" customFormat="1" x14ac:dyDescent="0.2">
      <c r="M5554" s="309"/>
      <c r="AB5554" s="310"/>
    </row>
    <row r="5555" spans="13:28" s="308" customFormat="1" x14ac:dyDescent="0.2">
      <c r="M5555" s="309"/>
      <c r="AB5555" s="310"/>
    </row>
    <row r="5556" spans="13:28" s="308" customFormat="1" x14ac:dyDescent="0.2">
      <c r="M5556" s="309"/>
      <c r="AB5556" s="310"/>
    </row>
    <row r="5557" spans="13:28" s="308" customFormat="1" x14ac:dyDescent="0.2">
      <c r="M5557" s="309"/>
      <c r="AB5557" s="310"/>
    </row>
    <row r="5558" spans="13:28" s="308" customFormat="1" x14ac:dyDescent="0.2">
      <c r="M5558" s="309"/>
      <c r="AB5558" s="310"/>
    </row>
    <row r="5559" spans="13:28" s="308" customFormat="1" x14ac:dyDescent="0.2">
      <c r="M5559" s="309"/>
      <c r="AB5559" s="310"/>
    </row>
    <row r="5560" spans="13:28" s="308" customFormat="1" x14ac:dyDescent="0.2">
      <c r="M5560" s="309"/>
      <c r="AB5560" s="310"/>
    </row>
    <row r="5561" spans="13:28" s="308" customFormat="1" x14ac:dyDescent="0.2">
      <c r="M5561" s="309"/>
      <c r="AB5561" s="310"/>
    </row>
    <row r="5562" spans="13:28" s="308" customFormat="1" x14ac:dyDescent="0.2">
      <c r="M5562" s="309"/>
      <c r="AB5562" s="310"/>
    </row>
    <row r="5563" spans="13:28" s="308" customFormat="1" x14ac:dyDescent="0.2">
      <c r="M5563" s="309"/>
      <c r="AB5563" s="310"/>
    </row>
    <row r="5564" spans="13:28" s="308" customFormat="1" x14ac:dyDescent="0.2">
      <c r="M5564" s="309"/>
      <c r="AB5564" s="310"/>
    </row>
    <row r="5565" spans="13:28" s="308" customFormat="1" x14ac:dyDescent="0.2">
      <c r="M5565" s="309"/>
      <c r="AB5565" s="310"/>
    </row>
    <row r="5566" spans="13:28" s="308" customFormat="1" x14ac:dyDescent="0.2">
      <c r="M5566" s="309"/>
      <c r="AB5566" s="310"/>
    </row>
    <row r="5567" spans="13:28" s="308" customFormat="1" x14ac:dyDescent="0.2">
      <c r="M5567" s="309"/>
      <c r="AB5567" s="310"/>
    </row>
    <row r="5568" spans="13:28" s="308" customFormat="1" x14ac:dyDescent="0.2">
      <c r="M5568" s="309"/>
      <c r="AB5568" s="310"/>
    </row>
    <row r="5569" spans="13:28" s="308" customFormat="1" x14ac:dyDescent="0.2">
      <c r="M5569" s="309"/>
      <c r="AB5569" s="310"/>
    </row>
    <row r="5570" spans="13:28" s="308" customFormat="1" x14ac:dyDescent="0.2">
      <c r="M5570" s="309"/>
      <c r="AB5570" s="310"/>
    </row>
    <row r="5571" spans="13:28" s="308" customFormat="1" x14ac:dyDescent="0.2">
      <c r="M5571" s="309"/>
      <c r="AB5571" s="310"/>
    </row>
    <row r="5572" spans="13:28" s="308" customFormat="1" x14ac:dyDescent="0.2">
      <c r="M5572" s="309"/>
      <c r="AB5572" s="310"/>
    </row>
    <row r="5573" spans="13:28" s="308" customFormat="1" x14ac:dyDescent="0.2">
      <c r="M5573" s="309"/>
      <c r="AB5573" s="310"/>
    </row>
    <row r="5574" spans="13:28" s="308" customFormat="1" x14ac:dyDescent="0.2">
      <c r="M5574" s="309"/>
      <c r="AB5574" s="310"/>
    </row>
    <row r="5575" spans="13:28" s="308" customFormat="1" x14ac:dyDescent="0.2">
      <c r="M5575" s="309"/>
      <c r="AB5575" s="310"/>
    </row>
    <row r="5576" spans="13:28" s="308" customFormat="1" x14ac:dyDescent="0.2">
      <c r="M5576" s="309"/>
      <c r="AB5576" s="310"/>
    </row>
    <row r="5577" spans="13:28" s="308" customFormat="1" x14ac:dyDescent="0.2">
      <c r="M5577" s="309"/>
      <c r="AB5577" s="310"/>
    </row>
    <row r="5578" spans="13:28" s="308" customFormat="1" x14ac:dyDescent="0.2">
      <c r="M5578" s="309"/>
      <c r="AB5578" s="310"/>
    </row>
    <row r="5579" spans="13:28" s="308" customFormat="1" x14ac:dyDescent="0.2">
      <c r="M5579" s="309"/>
      <c r="AB5579" s="310"/>
    </row>
    <row r="5580" spans="13:28" s="308" customFormat="1" x14ac:dyDescent="0.2">
      <c r="M5580" s="309"/>
      <c r="AB5580" s="310"/>
    </row>
    <row r="5581" spans="13:28" s="308" customFormat="1" x14ac:dyDescent="0.2">
      <c r="M5581" s="309"/>
      <c r="AB5581" s="310"/>
    </row>
    <row r="5582" spans="13:28" s="308" customFormat="1" x14ac:dyDescent="0.2">
      <c r="M5582" s="309"/>
      <c r="AB5582" s="310"/>
    </row>
    <row r="5583" spans="13:28" s="308" customFormat="1" x14ac:dyDescent="0.2">
      <c r="M5583" s="309"/>
      <c r="AB5583" s="310"/>
    </row>
    <row r="5584" spans="13:28" s="308" customFormat="1" x14ac:dyDescent="0.2">
      <c r="M5584" s="309"/>
      <c r="AB5584" s="310"/>
    </row>
    <row r="5585" spans="13:28" s="308" customFormat="1" x14ac:dyDescent="0.2">
      <c r="M5585" s="309"/>
      <c r="AB5585" s="310"/>
    </row>
    <row r="5586" spans="13:28" s="308" customFormat="1" x14ac:dyDescent="0.2">
      <c r="M5586" s="309"/>
      <c r="AB5586" s="310"/>
    </row>
    <row r="5587" spans="13:28" s="308" customFormat="1" x14ac:dyDescent="0.2">
      <c r="M5587" s="309"/>
      <c r="AB5587" s="310"/>
    </row>
    <row r="5588" spans="13:28" s="308" customFormat="1" x14ac:dyDescent="0.2">
      <c r="M5588" s="309"/>
      <c r="AB5588" s="310"/>
    </row>
    <row r="5589" spans="13:28" s="308" customFormat="1" x14ac:dyDescent="0.2">
      <c r="M5589" s="309"/>
      <c r="AB5589" s="310"/>
    </row>
    <row r="5590" spans="13:28" s="308" customFormat="1" x14ac:dyDescent="0.2">
      <c r="M5590" s="309"/>
      <c r="AB5590" s="310"/>
    </row>
    <row r="5591" spans="13:28" s="308" customFormat="1" x14ac:dyDescent="0.2">
      <c r="M5591" s="309"/>
      <c r="AB5591" s="310"/>
    </row>
    <row r="5592" spans="13:28" s="308" customFormat="1" x14ac:dyDescent="0.2">
      <c r="M5592" s="309"/>
      <c r="AB5592" s="310"/>
    </row>
    <row r="5593" spans="13:28" s="308" customFormat="1" x14ac:dyDescent="0.2">
      <c r="M5593" s="309"/>
      <c r="AB5593" s="310"/>
    </row>
    <row r="5594" spans="13:28" s="308" customFormat="1" x14ac:dyDescent="0.2">
      <c r="M5594" s="309"/>
      <c r="AB5594" s="310"/>
    </row>
    <row r="5595" spans="13:28" s="308" customFormat="1" x14ac:dyDescent="0.2">
      <c r="M5595" s="309"/>
      <c r="AB5595" s="310"/>
    </row>
    <row r="5596" spans="13:28" s="308" customFormat="1" x14ac:dyDescent="0.2">
      <c r="M5596" s="309"/>
      <c r="AB5596" s="310"/>
    </row>
    <row r="5597" spans="13:28" s="308" customFormat="1" x14ac:dyDescent="0.2">
      <c r="M5597" s="309"/>
      <c r="AB5597" s="310"/>
    </row>
    <row r="5598" spans="13:28" s="308" customFormat="1" x14ac:dyDescent="0.2">
      <c r="M5598" s="309"/>
      <c r="AB5598" s="310"/>
    </row>
    <row r="5599" spans="13:28" s="308" customFormat="1" x14ac:dyDescent="0.2">
      <c r="M5599" s="309"/>
      <c r="AB5599" s="310"/>
    </row>
    <row r="5600" spans="13:28" s="308" customFormat="1" x14ac:dyDescent="0.2">
      <c r="M5600" s="309"/>
      <c r="AB5600" s="310"/>
    </row>
    <row r="5601" spans="13:28" s="308" customFormat="1" x14ac:dyDescent="0.2">
      <c r="M5601" s="309"/>
      <c r="AB5601" s="310"/>
    </row>
    <row r="5602" spans="13:28" s="308" customFormat="1" x14ac:dyDescent="0.2">
      <c r="M5602" s="309"/>
      <c r="AB5602" s="310"/>
    </row>
    <row r="5603" spans="13:28" s="308" customFormat="1" x14ac:dyDescent="0.2">
      <c r="M5603" s="309"/>
      <c r="AB5603" s="310"/>
    </row>
    <row r="5604" spans="13:28" s="308" customFormat="1" x14ac:dyDescent="0.2">
      <c r="M5604" s="309"/>
      <c r="AB5604" s="310"/>
    </row>
    <row r="5605" spans="13:28" s="308" customFormat="1" x14ac:dyDescent="0.2">
      <c r="M5605" s="309"/>
      <c r="AB5605" s="310"/>
    </row>
    <row r="5606" spans="13:28" s="308" customFormat="1" x14ac:dyDescent="0.2">
      <c r="M5606" s="309"/>
      <c r="AB5606" s="310"/>
    </row>
    <row r="5607" spans="13:28" s="308" customFormat="1" x14ac:dyDescent="0.2">
      <c r="M5607" s="309"/>
      <c r="AB5607" s="310"/>
    </row>
    <row r="5608" spans="13:28" s="308" customFormat="1" x14ac:dyDescent="0.2">
      <c r="M5608" s="309"/>
      <c r="AB5608" s="310"/>
    </row>
    <row r="5609" spans="13:28" s="308" customFormat="1" x14ac:dyDescent="0.2">
      <c r="M5609" s="309"/>
      <c r="AB5609" s="310"/>
    </row>
    <row r="5610" spans="13:28" s="308" customFormat="1" x14ac:dyDescent="0.2">
      <c r="M5610" s="309"/>
      <c r="AB5610" s="310"/>
    </row>
    <row r="5611" spans="13:28" s="308" customFormat="1" x14ac:dyDescent="0.2">
      <c r="M5611" s="309"/>
      <c r="AB5611" s="310"/>
    </row>
    <row r="5612" spans="13:28" s="308" customFormat="1" x14ac:dyDescent="0.2">
      <c r="M5612" s="309"/>
      <c r="AB5612" s="310"/>
    </row>
    <row r="5613" spans="13:28" s="308" customFormat="1" x14ac:dyDescent="0.2">
      <c r="M5613" s="309"/>
      <c r="AB5613" s="310"/>
    </row>
    <row r="5614" spans="13:28" s="308" customFormat="1" x14ac:dyDescent="0.2">
      <c r="M5614" s="309"/>
      <c r="AB5614" s="310"/>
    </row>
    <row r="5615" spans="13:28" s="308" customFormat="1" x14ac:dyDescent="0.2">
      <c r="M5615" s="309"/>
      <c r="AB5615" s="310"/>
    </row>
    <row r="5616" spans="13:28" s="308" customFormat="1" x14ac:dyDescent="0.2">
      <c r="M5616" s="309"/>
      <c r="AB5616" s="310"/>
    </row>
    <row r="5617" spans="13:28" s="308" customFormat="1" x14ac:dyDescent="0.2">
      <c r="M5617" s="309"/>
      <c r="AB5617" s="310"/>
    </row>
    <row r="5618" spans="13:28" s="308" customFormat="1" x14ac:dyDescent="0.2">
      <c r="M5618" s="309"/>
      <c r="AB5618" s="310"/>
    </row>
    <row r="5619" spans="13:28" s="308" customFormat="1" x14ac:dyDescent="0.2">
      <c r="M5619" s="309"/>
      <c r="AB5619" s="310"/>
    </row>
    <row r="5620" spans="13:28" s="308" customFormat="1" x14ac:dyDescent="0.2">
      <c r="M5620" s="309"/>
      <c r="AB5620" s="310"/>
    </row>
    <row r="5621" spans="13:28" s="308" customFormat="1" x14ac:dyDescent="0.2">
      <c r="M5621" s="309"/>
      <c r="AB5621" s="310"/>
    </row>
    <row r="5622" spans="13:28" s="308" customFormat="1" x14ac:dyDescent="0.2">
      <c r="M5622" s="309"/>
      <c r="AB5622" s="310"/>
    </row>
    <row r="5623" spans="13:28" s="308" customFormat="1" x14ac:dyDescent="0.2">
      <c r="M5623" s="309"/>
      <c r="AB5623" s="310"/>
    </row>
    <row r="5624" spans="13:28" s="308" customFormat="1" x14ac:dyDescent="0.2">
      <c r="M5624" s="309"/>
      <c r="AB5624" s="310"/>
    </row>
    <row r="5625" spans="13:28" s="308" customFormat="1" x14ac:dyDescent="0.2">
      <c r="M5625" s="309"/>
      <c r="AB5625" s="310"/>
    </row>
    <row r="5626" spans="13:28" s="308" customFormat="1" x14ac:dyDescent="0.2">
      <c r="M5626" s="309"/>
      <c r="AB5626" s="310"/>
    </row>
    <row r="5627" spans="13:28" s="308" customFormat="1" x14ac:dyDescent="0.2">
      <c r="M5627" s="309"/>
      <c r="AB5627" s="310"/>
    </row>
    <row r="5628" spans="13:28" s="308" customFormat="1" x14ac:dyDescent="0.2">
      <c r="M5628" s="309"/>
      <c r="AB5628" s="310"/>
    </row>
    <row r="5629" spans="13:28" s="308" customFormat="1" x14ac:dyDescent="0.2">
      <c r="M5629" s="309"/>
      <c r="AB5629" s="310"/>
    </row>
    <row r="5630" spans="13:28" s="308" customFormat="1" x14ac:dyDescent="0.2">
      <c r="M5630" s="309"/>
      <c r="AB5630" s="310"/>
    </row>
    <row r="5631" spans="13:28" s="308" customFormat="1" x14ac:dyDescent="0.2">
      <c r="M5631" s="309"/>
      <c r="AB5631" s="310"/>
    </row>
    <row r="5632" spans="13:28" s="308" customFormat="1" x14ac:dyDescent="0.2">
      <c r="M5632" s="309"/>
      <c r="AB5632" s="310"/>
    </row>
    <row r="5633" spans="13:28" s="308" customFormat="1" x14ac:dyDescent="0.2">
      <c r="M5633" s="309"/>
      <c r="AB5633" s="310"/>
    </row>
    <row r="5634" spans="13:28" s="308" customFormat="1" x14ac:dyDescent="0.2">
      <c r="M5634" s="309"/>
      <c r="AB5634" s="310"/>
    </row>
    <row r="5635" spans="13:28" s="308" customFormat="1" x14ac:dyDescent="0.2">
      <c r="M5635" s="309"/>
      <c r="AB5635" s="310"/>
    </row>
    <row r="5636" spans="13:28" s="308" customFormat="1" x14ac:dyDescent="0.2">
      <c r="M5636" s="309"/>
      <c r="AB5636" s="310"/>
    </row>
    <row r="5637" spans="13:28" s="308" customFormat="1" x14ac:dyDescent="0.2">
      <c r="M5637" s="309"/>
      <c r="AB5637" s="310"/>
    </row>
    <row r="5638" spans="13:28" s="308" customFormat="1" x14ac:dyDescent="0.2">
      <c r="M5638" s="309"/>
      <c r="AB5638" s="310"/>
    </row>
    <row r="5639" spans="13:28" s="308" customFormat="1" x14ac:dyDescent="0.2">
      <c r="M5639" s="309"/>
      <c r="AB5639" s="310"/>
    </row>
    <row r="5640" spans="13:28" s="308" customFormat="1" x14ac:dyDescent="0.2">
      <c r="M5640" s="309"/>
      <c r="AB5640" s="310"/>
    </row>
    <row r="5641" spans="13:28" s="308" customFormat="1" x14ac:dyDescent="0.2">
      <c r="M5641" s="309"/>
      <c r="AB5641" s="310"/>
    </row>
    <row r="5642" spans="13:28" s="308" customFormat="1" x14ac:dyDescent="0.2">
      <c r="M5642" s="309"/>
      <c r="AB5642" s="310"/>
    </row>
    <row r="5643" spans="13:28" s="308" customFormat="1" x14ac:dyDescent="0.2">
      <c r="M5643" s="309"/>
      <c r="AB5643" s="310"/>
    </row>
    <row r="5644" spans="13:28" s="308" customFormat="1" x14ac:dyDescent="0.2">
      <c r="M5644" s="309"/>
      <c r="AB5644" s="310"/>
    </row>
    <row r="5645" spans="13:28" s="308" customFormat="1" x14ac:dyDescent="0.2">
      <c r="M5645" s="309"/>
      <c r="AB5645" s="310"/>
    </row>
    <row r="5646" spans="13:28" s="308" customFormat="1" x14ac:dyDescent="0.2">
      <c r="M5646" s="309"/>
      <c r="AB5646" s="310"/>
    </row>
    <row r="5647" spans="13:28" s="308" customFormat="1" x14ac:dyDescent="0.2">
      <c r="M5647" s="309"/>
      <c r="AB5647" s="310"/>
    </row>
    <row r="5648" spans="13:28" s="308" customFormat="1" x14ac:dyDescent="0.2">
      <c r="M5648" s="309"/>
      <c r="AB5648" s="310"/>
    </row>
    <row r="5649" spans="13:28" s="308" customFormat="1" x14ac:dyDescent="0.2">
      <c r="M5649" s="309"/>
      <c r="AB5649" s="310"/>
    </row>
    <row r="5650" spans="13:28" s="308" customFormat="1" x14ac:dyDescent="0.2">
      <c r="M5650" s="309"/>
      <c r="AB5650" s="310"/>
    </row>
    <row r="5651" spans="13:28" s="308" customFormat="1" x14ac:dyDescent="0.2">
      <c r="M5651" s="309"/>
      <c r="AB5651" s="310"/>
    </row>
    <row r="5652" spans="13:28" s="308" customFormat="1" x14ac:dyDescent="0.2">
      <c r="M5652" s="309"/>
      <c r="AB5652" s="310"/>
    </row>
    <row r="5653" spans="13:28" s="308" customFormat="1" x14ac:dyDescent="0.2">
      <c r="M5653" s="309"/>
      <c r="AB5653" s="310"/>
    </row>
    <row r="5654" spans="13:28" s="308" customFormat="1" x14ac:dyDescent="0.2">
      <c r="M5654" s="309"/>
      <c r="AB5654" s="310"/>
    </row>
    <row r="5655" spans="13:28" s="308" customFormat="1" x14ac:dyDescent="0.2">
      <c r="M5655" s="309"/>
      <c r="AB5655" s="310"/>
    </row>
    <row r="5656" spans="13:28" s="308" customFormat="1" x14ac:dyDescent="0.2">
      <c r="M5656" s="309"/>
      <c r="AB5656" s="310"/>
    </row>
    <row r="5657" spans="13:28" s="308" customFormat="1" x14ac:dyDescent="0.2">
      <c r="M5657" s="309"/>
      <c r="AB5657" s="310"/>
    </row>
    <row r="5658" spans="13:28" s="308" customFormat="1" x14ac:dyDescent="0.2">
      <c r="M5658" s="309"/>
      <c r="AB5658" s="310"/>
    </row>
    <row r="5659" spans="13:28" s="308" customFormat="1" x14ac:dyDescent="0.2">
      <c r="M5659" s="309"/>
      <c r="AB5659" s="310"/>
    </row>
    <row r="5660" spans="13:28" s="308" customFormat="1" x14ac:dyDescent="0.2">
      <c r="M5660" s="309"/>
      <c r="AB5660" s="310"/>
    </row>
    <row r="5661" spans="13:28" s="308" customFormat="1" x14ac:dyDescent="0.2">
      <c r="M5661" s="309"/>
      <c r="AB5661" s="310"/>
    </row>
    <row r="5662" spans="13:28" s="308" customFormat="1" x14ac:dyDescent="0.2">
      <c r="M5662" s="309"/>
      <c r="AB5662" s="310"/>
    </row>
    <row r="5663" spans="13:28" s="308" customFormat="1" x14ac:dyDescent="0.2">
      <c r="M5663" s="309"/>
      <c r="AB5663" s="310"/>
    </row>
    <row r="5664" spans="13:28" s="308" customFormat="1" x14ac:dyDescent="0.2">
      <c r="M5664" s="309"/>
      <c r="AB5664" s="310"/>
    </row>
    <row r="5665" spans="13:28" s="308" customFormat="1" x14ac:dyDescent="0.2">
      <c r="M5665" s="309"/>
      <c r="AB5665" s="310"/>
    </row>
    <row r="5666" spans="13:28" s="308" customFormat="1" x14ac:dyDescent="0.2">
      <c r="M5666" s="309"/>
      <c r="AB5666" s="310"/>
    </row>
    <row r="5667" spans="13:28" s="308" customFormat="1" x14ac:dyDescent="0.2">
      <c r="M5667" s="309"/>
      <c r="AB5667" s="310"/>
    </row>
    <row r="5668" spans="13:28" s="308" customFormat="1" x14ac:dyDescent="0.2">
      <c r="M5668" s="309"/>
      <c r="AB5668" s="310"/>
    </row>
    <row r="5669" spans="13:28" s="308" customFormat="1" x14ac:dyDescent="0.2">
      <c r="M5669" s="309"/>
      <c r="AB5669" s="310"/>
    </row>
    <row r="5670" spans="13:28" s="308" customFormat="1" x14ac:dyDescent="0.2">
      <c r="M5670" s="309"/>
      <c r="AB5670" s="310"/>
    </row>
    <row r="5671" spans="13:28" s="308" customFormat="1" x14ac:dyDescent="0.2">
      <c r="M5671" s="309"/>
      <c r="AB5671" s="310"/>
    </row>
    <row r="5672" spans="13:28" s="308" customFormat="1" x14ac:dyDescent="0.2">
      <c r="M5672" s="309"/>
      <c r="AB5672" s="310"/>
    </row>
    <row r="5673" spans="13:28" s="308" customFormat="1" x14ac:dyDescent="0.2">
      <c r="M5673" s="309"/>
      <c r="AB5673" s="310"/>
    </row>
    <row r="5674" spans="13:28" s="308" customFormat="1" x14ac:dyDescent="0.2">
      <c r="M5674" s="309"/>
      <c r="AB5674" s="310"/>
    </row>
    <row r="5675" spans="13:28" s="308" customFormat="1" x14ac:dyDescent="0.2">
      <c r="M5675" s="309"/>
      <c r="AB5675" s="310"/>
    </row>
    <row r="5676" spans="13:28" s="308" customFormat="1" x14ac:dyDescent="0.2">
      <c r="M5676" s="309"/>
      <c r="AB5676" s="310"/>
    </row>
    <row r="5677" spans="13:28" s="308" customFormat="1" x14ac:dyDescent="0.2">
      <c r="M5677" s="309"/>
      <c r="AB5677" s="310"/>
    </row>
    <row r="5678" spans="13:28" s="308" customFormat="1" x14ac:dyDescent="0.2">
      <c r="M5678" s="309"/>
      <c r="AB5678" s="310"/>
    </row>
    <row r="5679" spans="13:28" s="308" customFormat="1" x14ac:dyDescent="0.2">
      <c r="M5679" s="309"/>
      <c r="AB5679" s="310"/>
    </row>
    <row r="5680" spans="13:28" s="308" customFormat="1" x14ac:dyDescent="0.2">
      <c r="M5680" s="309"/>
      <c r="AB5680" s="310"/>
    </row>
    <row r="5681" spans="13:28" s="308" customFormat="1" x14ac:dyDescent="0.2">
      <c r="M5681" s="309"/>
      <c r="AB5681" s="310"/>
    </row>
    <row r="5682" spans="13:28" s="308" customFormat="1" x14ac:dyDescent="0.2">
      <c r="M5682" s="309"/>
      <c r="AB5682" s="310"/>
    </row>
    <row r="5683" spans="13:28" s="308" customFormat="1" x14ac:dyDescent="0.2">
      <c r="M5683" s="309"/>
      <c r="AB5683" s="310"/>
    </row>
    <row r="5684" spans="13:28" s="308" customFormat="1" x14ac:dyDescent="0.2">
      <c r="M5684" s="309"/>
      <c r="AB5684" s="310"/>
    </row>
    <row r="5685" spans="13:28" s="308" customFormat="1" x14ac:dyDescent="0.2">
      <c r="M5685" s="309"/>
      <c r="AB5685" s="310"/>
    </row>
    <row r="5686" spans="13:28" s="308" customFormat="1" x14ac:dyDescent="0.2">
      <c r="M5686" s="309"/>
      <c r="AB5686" s="310"/>
    </row>
    <row r="5687" spans="13:28" s="308" customFormat="1" x14ac:dyDescent="0.2">
      <c r="M5687" s="309"/>
      <c r="AB5687" s="310"/>
    </row>
    <row r="5688" spans="13:28" s="308" customFormat="1" x14ac:dyDescent="0.2">
      <c r="M5688" s="309"/>
      <c r="AB5688" s="310"/>
    </row>
    <row r="5689" spans="13:28" s="308" customFormat="1" x14ac:dyDescent="0.2">
      <c r="M5689" s="309"/>
      <c r="AB5689" s="310"/>
    </row>
    <row r="5690" spans="13:28" s="308" customFormat="1" x14ac:dyDescent="0.2">
      <c r="M5690" s="309"/>
      <c r="AB5690" s="310"/>
    </row>
    <row r="5691" spans="13:28" s="308" customFormat="1" x14ac:dyDescent="0.2">
      <c r="M5691" s="309"/>
      <c r="AB5691" s="310"/>
    </row>
    <row r="5692" spans="13:28" s="308" customFormat="1" x14ac:dyDescent="0.2">
      <c r="M5692" s="309"/>
      <c r="AB5692" s="310"/>
    </row>
    <row r="5693" spans="13:28" s="308" customFormat="1" x14ac:dyDescent="0.2">
      <c r="M5693" s="309"/>
      <c r="AB5693" s="310"/>
    </row>
    <row r="5694" spans="13:28" s="308" customFormat="1" x14ac:dyDescent="0.2">
      <c r="M5694" s="309"/>
      <c r="AB5694" s="310"/>
    </row>
    <row r="5695" spans="13:28" s="308" customFormat="1" x14ac:dyDescent="0.2">
      <c r="M5695" s="309"/>
      <c r="AB5695" s="310"/>
    </row>
    <row r="5696" spans="13:28" s="308" customFormat="1" x14ac:dyDescent="0.2">
      <c r="M5696" s="309"/>
      <c r="AB5696" s="310"/>
    </row>
    <row r="5697" spans="13:28" s="308" customFormat="1" x14ac:dyDescent="0.2">
      <c r="M5697" s="309"/>
      <c r="AB5697" s="310"/>
    </row>
    <row r="5698" spans="13:28" s="308" customFormat="1" x14ac:dyDescent="0.2">
      <c r="M5698" s="309"/>
      <c r="AB5698" s="310"/>
    </row>
    <row r="5699" spans="13:28" s="308" customFormat="1" x14ac:dyDescent="0.2">
      <c r="M5699" s="309"/>
      <c r="AB5699" s="310"/>
    </row>
    <row r="5700" spans="13:28" s="308" customFormat="1" x14ac:dyDescent="0.2">
      <c r="M5700" s="309"/>
      <c r="AB5700" s="310"/>
    </row>
    <row r="5701" spans="13:28" s="308" customFormat="1" x14ac:dyDescent="0.2">
      <c r="M5701" s="309"/>
      <c r="AB5701" s="310"/>
    </row>
    <row r="5702" spans="13:28" s="308" customFormat="1" x14ac:dyDescent="0.2">
      <c r="M5702" s="309"/>
      <c r="AB5702" s="310"/>
    </row>
    <row r="5703" spans="13:28" s="308" customFormat="1" x14ac:dyDescent="0.2">
      <c r="M5703" s="309"/>
      <c r="AB5703" s="310"/>
    </row>
    <row r="5704" spans="13:28" s="308" customFormat="1" x14ac:dyDescent="0.2">
      <c r="M5704" s="309"/>
      <c r="AB5704" s="310"/>
    </row>
    <row r="5705" spans="13:28" s="308" customFormat="1" x14ac:dyDescent="0.2">
      <c r="M5705" s="309"/>
      <c r="AB5705" s="310"/>
    </row>
    <row r="5706" spans="13:28" s="308" customFormat="1" x14ac:dyDescent="0.2">
      <c r="M5706" s="309"/>
      <c r="AB5706" s="310"/>
    </row>
    <row r="5707" spans="13:28" s="308" customFormat="1" x14ac:dyDescent="0.2">
      <c r="M5707" s="309"/>
      <c r="AB5707" s="310"/>
    </row>
    <row r="5708" spans="13:28" s="308" customFormat="1" x14ac:dyDescent="0.2">
      <c r="M5708" s="309"/>
      <c r="AB5708" s="310"/>
    </row>
    <row r="5709" spans="13:28" s="308" customFormat="1" x14ac:dyDescent="0.2">
      <c r="M5709" s="309"/>
      <c r="AB5709" s="310"/>
    </row>
    <row r="5710" spans="13:28" s="308" customFormat="1" x14ac:dyDescent="0.2">
      <c r="M5710" s="309"/>
      <c r="AB5710" s="310"/>
    </row>
    <row r="5711" spans="13:28" s="308" customFormat="1" x14ac:dyDescent="0.2">
      <c r="M5711" s="309"/>
      <c r="AB5711" s="310"/>
    </row>
    <row r="5712" spans="13:28" s="308" customFormat="1" x14ac:dyDescent="0.2">
      <c r="M5712" s="309"/>
      <c r="AB5712" s="310"/>
    </row>
    <row r="5713" spans="13:28" s="308" customFormat="1" x14ac:dyDescent="0.2">
      <c r="M5713" s="309"/>
      <c r="AB5713" s="310"/>
    </row>
    <row r="5714" spans="13:28" s="308" customFormat="1" x14ac:dyDescent="0.2">
      <c r="M5714" s="309"/>
      <c r="AB5714" s="310"/>
    </row>
    <row r="5715" spans="13:28" s="308" customFormat="1" x14ac:dyDescent="0.2">
      <c r="M5715" s="309"/>
      <c r="AB5715" s="310"/>
    </row>
    <row r="5716" spans="13:28" s="308" customFormat="1" x14ac:dyDescent="0.2">
      <c r="M5716" s="309"/>
      <c r="AB5716" s="310"/>
    </row>
    <row r="5717" spans="13:28" s="308" customFormat="1" x14ac:dyDescent="0.2">
      <c r="M5717" s="309"/>
      <c r="AB5717" s="310"/>
    </row>
    <row r="5718" spans="13:28" s="308" customFormat="1" x14ac:dyDescent="0.2">
      <c r="M5718" s="309"/>
      <c r="AB5718" s="310"/>
    </row>
    <row r="5719" spans="13:28" s="308" customFormat="1" x14ac:dyDescent="0.2">
      <c r="M5719" s="309"/>
      <c r="AB5719" s="310"/>
    </row>
    <row r="5720" spans="13:28" s="308" customFormat="1" x14ac:dyDescent="0.2">
      <c r="M5720" s="309"/>
      <c r="AB5720" s="310"/>
    </row>
    <row r="5721" spans="13:28" s="308" customFormat="1" x14ac:dyDescent="0.2">
      <c r="M5721" s="309"/>
      <c r="AB5721" s="310"/>
    </row>
    <row r="5722" spans="13:28" s="308" customFormat="1" x14ac:dyDescent="0.2">
      <c r="M5722" s="309"/>
      <c r="AB5722" s="310"/>
    </row>
    <row r="5723" spans="13:28" s="308" customFormat="1" x14ac:dyDescent="0.2">
      <c r="M5723" s="309"/>
      <c r="AB5723" s="310"/>
    </row>
    <row r="5724" spans="13:28" s="308" customFormat="1" x14ac:dyDescent="0.2">
      <c r="M5724" s="309"/>
      <c r="AB5724" s="310"/>
    </row>
    <row r="5725" spans="13:28" s="308" customFormat="1" x14ac:dyDescent="0.2">
      <c r="M5725" s="309"/>
      <c r="AB5725" s="310"/>
    </row>
    <row r="5726" spans="13:28" s="308" customFormat="1" x14ac:dyDescent="0.2">
      <c r="M5726" s="309"/>
      <c r="AB5726" s="310"/>
    </row>
    <row r="5727" spans="13:28" s="308" customFormat="1" x14ac:dyDescent="0.2">
      <c r="M5727" s="309"/>
      <c r="AB5727" s="310"/>
    </row>
    <row r="5728" spans="13:28" s="308" customFormat="1" x14ac:dyDescent="0.2">
      <c r="M5728" s="309"/>
      <c r="AB5728" s="310"/>
    </row>
    <row r="5729" spans="13:28" s="308" customFormat="1" x14ac:dyDescent="0.2">
      <c r="M5729" s="309"/>
      <c r="AB5729" s="310"/>
    </row>
    <row r="5730" spans="13:28" s="308" customFormat="1" x14ac:dyDescent="0.2">
      <c r="M5730" s="309"/>
      <c r="AB5730" s="310"/>
    </row>
    <row r="5731" spans="13:28" s="308" customFormat="1" x14ac:dyDescent="0.2">
      <c r="M5731" s="309"/>
      <c r="AB5731" s="310"/>
    </row>
    <row r="5732" spans="13:28" s="308" customFormat="1" x14ac:dyDescent="0.2">
      <c r="M5732" s="309"/>
      <c r="AB5732" s="310"/>
    </row>
    <row r="5733" spans="13:28" s="308" customFormat="1" x14ac:dyDescent="0.2">
      <c r="M5733" s="309"/>
      <c r="AB5733" s="310"/>
    </row>
    <row r="5734" spans="13:28" s="308" customFormat="1" x14ac:dyDescent="0.2">
      <c r="M5734" s="309"/>
      <c r="AB5734" s="310"/>
    </row>
    <row r="5735" spans="13:28" s="308" customFormat="1" x14ac:dyDescent="0.2">
      <c r="M5735" s="309"/>
      <c r="AB5735" s="310"/>
    </row>
    <row r="5736" spans="13:28" s="308" customFormat="1" x14ac:dyDescent="0.2">
      <c r="M5736" s="309"/>
      <c r="AB5736" s="310"/>
    </row>
    <row r="5737" spans="13:28" s="308" customFormat="1" x14ac:dyDescent="0.2">
      <c r="M5737" s="309"/>
      <c r="AB5737" s="310"/>
    </row>
    <row r="5738" spans="13:28" s="308" customFormat="1" x14ac:dyDescent="0.2">
      <c r="M5738" s="309"/>
      <c r="AB5738" s="310"/>
    </row>
    <row r="5739" spans="13:28" s="308" customFormat="1" x14ac:dyDescent="0.2">
      <c r="M5739" s="309"/>
      <c r="AB5739" s="310"/>
    </row>
    <row r="5740" spans="13:28" s="308" customFormat="1" x14ac:dyDescent="0.2">
      <c r="M5740" s="309"/>
      <c r="AB5740" s="310"/>
    </row>
    <row r="5741" spans="13:28" s="308" customFormat="1" x14ac:dyDescent="0.2">
      <c r="M5741" s="309"/>
      <c r="AB5741" s="310"/>
    </row>
    <row r="5742" spans="13:28" s="308" customFormat="1" x14ac:dyDescent="0.2">
      <c r="M5742" s="309"/>
      <c r="AB5742" s="310"/>
    </row>
    <row r="5743" spans="13:28" s="308" customFormat="1" x14ac:dyDescent="0.2">
      <c r="M5743" s="309"/>
      <c r="AB5743" s="310"/>
    </row>
    <row r="5744" spans="13:28" s="308" customFormat="1" x14ac:dyDescent="0.2">
      <c r="M5744" s="309"/>
      <c r="AB5744" s="310"/>
    </row>
    <row r="5745" spans="13:28" s="308" customFormat="1" x14ac:dyDescent="0.2">
      <c r="M5745" s="309"/>
      <c r="AB5745" s="310"/>
    </row>
    <row r="5746" spans="13:28" s="308" customFormat="1" x14ac:dyDescent="0.2">
      <c r="M5746" s="309"/>
      <c r="AB5746" s="310"/>
    </row>
    <row r="5747" spans="13:28" s="308" customFormat="1" x14ac:dyDescent="0.2">
      <c r="M5747" s="309"/>
      <c r="AB5747" s="310"/>
    </row>
    <row r="5748" spans="13:28" s="308" customFormat="1" x14ac:dyDescent="0.2">
      <c r="M5748" s="309"/>
      <c r="AB5748" s="310"/>
    </row>
    <row r="5749" spans="13:28" s="308" customFormat="1" x14ac:dyDescent="0.2">
      <c r="M5749" s="309"/>
      <c r="AB5749" s="310"/>
    </row>
    <row r="5750" spans="13:28" s="308" customFormat="1" x14ac:dyDescent="0.2">
      <c r="M5750" s="309"/>
      <c r="AB5750" s="310"/>
    </row>
    <row r="5751" spans="13:28" s="308" customFormat="1" x14ac:dyDescent="0.2">
      <c r="M5751" s="309"/>
      <c r="AB5751" s="310"/>
    </row>
    <row r="5752" spans="13:28" s="308" customFormat="1" x14ac:dyDescent="0.2">
      <c r="M5752" s="309"/>
      <c r="AB5752" s="310"/>
    </row>
    <row r="5753" spans="13:28" s="308" customFormat="1" x14ac:dyDescent="0.2">
      <c r="M5753" s="309"/>
      <c r="AB5753" s="310"/>
    </row>
    <row r="5754" spans="13:28" s="308" customFormat="1" x14ac:dyDescent="0.2">
      <c r="M5754" s="309"/>
      <c r="AB5754" s="310"/>
    </row>
    <row r="5755" spans="13:28" s="308" customFormat="1" x14ac:dyDescent="0.2">
      <c r="M5755" s="309"/>
      <c r="AB5755" s="310"/>
    </row>
    <row r="5756" spans="13:28" s="308" customFormat="1" x14ac:dyDescent="0.2">
      <c r="M5756" s="309"/>
      <c r="AB5756" s="310"/>
    </row>
    <row r="5757" spans="13:28" s="308" customFormat="1" x14ac:dyDescent="0.2">
      <c r="M5757" s="309"/>
      <c r="AB5757" s="310"/>
    </row>
    <row r="5758" spans="13:28" s="308" customFormat="1" x14ac:dyDescent="0.2">
      <c r="M5758" s="309"/>
      <c r="AB5758" s="310"/>
    </row>
    <row r="5759" spans="13:28" s="308" customFormat="1" x14ac:dyDescent="0.2">
      <c r="M5759" s="309"/>
      <c r="AB5759" s="310"/>
    </row>
    <row r="5760" spans="13:28" s="308" customFormat="1" x14ac:dyDescent="0.2">
      <c r="M5760" s="309"/>
      <c r="AB5760" s="310"/>
    </row>
    <row r="5761" spans="13:28" s="308" customFormat="1" x14ac:dyDescent="0.2">
      <c r="M5761" s="309"/>
      <c r="AB5761" s="310"/>
    </row>
    <row r="5762" spans="13:28" s="308" customFormat="1" x14ac:dyDescent="0.2">
      <c r="M5762" s="309"/>
      <c r="AB5762" s="310"/>
    </row>
    <row r="5763" spans="13:28" s="308" customFormat="1" x14ac:dyDescent="0.2">
      <c r="M5763" s="309"/>
      <c r="AB5763" s="310"/>
    </row>
    <row r="5764" spans="13:28" s="308" customFormat="1" x14ac:dyDescent="0.2">
      <c r="M5764" s="309"/>
      <c r="AB5764" s="310"/>
    </row>
    <row r="5765" spans="13:28" s="308" customFormat="1" x14ac:dyDescent="0.2">
      <c r="M5765" s="309"/>
      <c r="AB5765" s="310"/>
    </row>
    <row r="5766" spans="13:28" s="308" customFormat="1" x14ac:dyDescent="0.2">
      <c r="M5766" s="309"/>
      <c r="AB5766" s="310"/>
    </row>
    <row r="5767" spans="13:28" s="308" customFormat="1" x14ac:dyDescent="0.2">
      <c r="M5767" s="309"/>
      <c r="AB5767" s="310"/>
    </row>
    <row r="5768" spans="13:28" s="308" customFormat="1" x14ac:dyDescent="0.2">
      <c r="M5768" s="309"/>
      <c r="AB5768" s="310"/>
    </row>
    <row r="5769" spans="13:28" s="308" customFormat="1" x14ac:dyDescent="0.2">
      <c r="M5769" s="309"/>
      <c r="AB5769" s="310"/>
    </row>
    <row r="5770" spans="13:28" s="308" customFormat="1" x14ac:dyDescent="0.2">
      <c r="M5770" s="309"/>
      <c r="AB5770" s="310"/>
    </row>
    <row r="5771" spans="13:28" s="308" customFormat="1" x14ac:dyDescent="0.2">
      <c r="M5771" s="309"/>
      <c r="AB5771" s="310"/>
    </row>
    <row r="5772" spans="13:28" s="308" customFormat="1" x14ac:dyDescent="0.2">
      <c r="M5772" s="309"/>
      <c r="AB5772" s="310"/>
    </row>
    <row r="5773" spans="13:28" s="308" customFormat="1" x14ac:dyDescent="0.2">
      <c r="M5773" s="309"/>
      <c r="AB5773" s="310"/>
    </row>
    <row r="5774" spans="13:28" s="308" customFormat="1" x14ac:dyDescent="0.2">
      <c r="M5774" s="309"/>
      <c r="AB5774" s="310"/>
    </row>
    <row r="5775" spans="13:28" s="308" customFormat="1" x14ac:dyDescent="0.2">
      <c r="M5775" s="309"/>
      <c r="AB5775" s="310"/>
    </row>
    <row r="5776" spans="13:28" s="308" customFormat="1" x14ac:dyDescent="0.2">
      <c r="M5776" s="309"/>
      <c r="AB5776" s="310"/>
    </row>
    <row r="5777" spans="13:28" s="308" customFormat="1" x14ac:dyDescent="0.2">
      <c r="M5777" s="309"/>
      <c r="AB5777" s="310"/>
    </row>
    <row r="5778" spans="13:28" s="308" customFormat="1" x14ac:dyDescent="0.2">
      <c r="M5778" s="309"/>
      <c r="AB5778" s="310"/>
    </row>
    <row r="5779" spans="13:28" s="308" customFormat="1" x14ac:dyDescent="0.2">
      <c r="M5779" s="309"/>
      <c r="AB5779" s="310"/>
    </row>
    <row r="5780" spans="13:28" s="308" customFormat="1" x14ac:dyDescent="0.2">
      <c r="M5780" s="309"/>
      <c r="AB5780" s="310"/>
    </row>
    <row r="5781" spans="13:28" s="308" customFormat="1" x14ac:dyDescent="0.2">
      <c r="M5781" s="309"/>
      <c r="AB5781" s="310"/>
    </row>
    <row r="5782" spans="13:28" s="308" customFormat="1" x14ac:dyDescent="0.2">
      <c r="M5782" s="309"/>
      <c r="AB5782" s="310"/>
    </row>
    <row r="5783" spans="13:28" s="308" customFormat="1" x14ac:dyDescent="0.2">
      <c r="M5783" s="309"/>
      <c r="AB5783" s="310"/>
    </row>
    <row r="5784" spans="13:28" s="308" customFormat="1" x14ac:dyDescent="0.2">
      <c r="M5784" s="309"/>
      <c r="AB5784" s="310"/>
    </row>
    <row r="5785" spans="13:28" s="308" customFormat="1" x14ac:dyDescent="0.2">
      <c r="M5785" s="309"/>
      <c r="AB5785" s="310"/>
    </row>
    <row r="5786" spans="13:28" s="308" customFormat="1" x14ac:dyDescent="0.2">
      <c r="M5786" s="309"/>
      <c r="AB5786" s="310"/>
    </row>
    <row r="5787" spans="13:28" s="308" customFormat="1" x14ac:dyDescent="0.2">
      <c r="M5787" s="309"/>
      <c r="AB5787" s="310"/>
    </row>
    <row r="5788" spans="13:28" s="308" customFormat="1" x14ac:dyDescent="0.2">
      <c r="M5788" s="309"/>
      <c r="AB5788" s="310"/>
    </row>
    <row r="5789" spans="13:28" s="308" customFormat="1" x14ac:dyDescent="0.2">
      <c r="M5789" s="309"/>
      <c r="AB5789" s="310"/>
    </row>
    <row r="5790" spans="13:28" s="308" customFormat="1" x14ac:dyDescent="0.2">
      <c r="M5790" s="309"/>
      <c r="AB5790" s="310"/>
    </row>
    <row r="5791" spans="13:28" s="308" customFormat="1" x14ac:dyDescent="0.2">
      <c r="M5791" s="309"/>
      <c r="AB5791" s="310"/>
    </row>
    <row r="5792" spans="13:28" s="308" customFormat="1" x14ac:dyDescent="0.2">
      <c r="M5792" s="309"/>
      <c r="AB5792" s="310"/>
    </row>
    <row r="5793" spans="13:28" s="308" customFormat="1" x14ac:dyDescent="0.2">
      <c r="M5793" s="309"/>
      <c r="AB5793" s="310"/>
    </row>
    <row r="5794" spans="13:28" s="308" customFormat="1" x14ac:dyDescent="0.2">
      <c r="M5794" s="309"/>
      <c r="AB5794" s="310"/>
    </row>
    <row r="5795" spans="13:28" s="308" customFormat="1" x14ac:dyDescent="0.2">
      <c r="M5795" s="309"/>
      <c r="AB5795" s="310"/>
    </row>
    <row r="5796" spans="13:28" s="308" customFormat="1" x14ac:dyDescent="0.2">
      <c r="M5796" s="309"/>
      <c r="AB5796" s="310"/>
    </row>
    <row r="5797" spans="13:28" s="308" customFormat="1" x14ac:dyDescent="0.2">
      <c r="M5797" s="309"/>
      <c r="AB5797" s="310"/>
    </row>
    <row r="5798" spans="13:28" s="308" customFormat="1" x14ac:dyDescent="0.2">
      <c r="M5798" s="309"/>
      <c r="AB5798" s="310"/>
    </row>
    <row r="5799" spans="13:28" s="308" customFormat="1" x14ac:dyDescent="0.2">
      <c r="M5799" s="309"/>
      <c r="AB5799" s="310"/>
    </row>
    <row r="5800" spans="13:28" s="308" customFormat="1" x14ac:dyDescent="0.2">
      <c r="M5800" s="309"/>
      <c r="AB5800" s="310"/>
    </row>
    <row r="5801" spans="13:28" s="308" customFormat="1" x14ac:dyDescent="0.2">
      <c r="M5801" s="309"/>
      <c r="AB5801" s="310"/>
    </row>
    <row r="5802" spans="13:28" s="308" customFormat="1" x14ac:dyDescent="0.2">
      <c r="M5802" s="309"/>
      <c r="AB5802" s="310"/>
    </row>
    <row r="5803" spans="13:28" s="308" customFormat="1" x14ac:dyDescent="0.2">
      <c r="M5803" s="309"/>
      <c r="AB5803" s="310"/>
    </row>
    <row r="5804" spans="13:28" s="308" customFormat="1" x14ac:dyDescent="0.2">
      <c r="M5804" s="309"/>
      <c r="AB5804" s="310"/>
    </row>
    <row r="5805" spans="13:28" s="308" customFormat="1" x14ac:dyDescent="0.2">
      <c r="M5805" s="309"/>
      <c r="AB5805" s="310"/>
    </row>
    <row r="5806" spans="13:28" s="308" customFormat="1" x14ac:dyDescent="0.2">
      <c r="M5806" s="309"/>
      <c r="AB5806" s="310"/>
    </row>
    <row r="5807" spans="13:28" s="308" customFormat="1" x14ac:dyDescent="0.2">
      <c r="M5807" s="309"/>
      <c r="AB5807" s="310"/>
    </row>
    <row r="5808" spans="13:28" s="308" customFormat="1" x14ac:dyDescent="0.2">
      <c r="M5808" s="309"/>
      <c r="AB5808" s="310"/>
    </row>
    <row r="5809" spans="13:28" s="308" customFormat="1" x14ac:dyDescent="0.2">
      <c r="M5809" s="309"/>
      <c r="AB5809" s="310"/>
    </row>
    <row r="5810" spans="13:28" s="308" customFormat="1" x14ac:dyDescent="0.2">
      <c r="M5810" s="309"/>
      <c r="AB5810" s="310"/>
    </row>
    <row r="5811" spans="13:28" s="308" customFormat="1" x14ac:dyDescent="0.2">
      <c r="M5811" s="309"/>
      <c r="AB5811" s="310"/>
    </row>
    <row r="5812" spans="13:28" s="308" customFormat="1" x14ac:dyDescent="0.2">
      <c r="M5812" s="309"/>
      <c r="AB5812" s="310"/>
    </row>
    <row r="5813" spans="13:28" s="308" customFormat="1" x14ac:dyDescent="0.2">
      <c r="M5813" s="309"/>
      <c r="AB5813" s="310"/>
    </row>
    <row r="5814" spans="13:28" s="308" customFormat="1" x14ac:dyDescent="0.2">
      <c r="M5814" s="309"/>
      <c r="AB5814" s="310"/>
    </row>
    <row r="5815" spans="13:28" s="308" customFormat="1" x14ac:dyDescent="0.2">
      <c r="M5815" s="309"/>
      <c r="AB5815" s="310"/>
    </row>
    <row r="5816" spans="13:28" s="308" customFormat="1" x14ac:dyDescent="0.2">
      <c r="M5816" s="309"/>
      <c r="AB5816" s="310"/>
    </row>
    <row r="5817" spans="13:28" s="308" customFormat="1" x14ac:dyDescent="0.2">
      <c r="M5817" s="309"/>
      <c r="AB5817" s="310"/>
    </row>
    <row r="5818" spans="13:28" s="308" customFormat="1" x14ac:dyDescent="0.2">
      <c r="M5818" s="309"/>
      <c r="AB5818" s="310"/>
    </row>
    <row r="5819" spans="13:28" s="308" customFormat="1" x14ac:dyDescent="0.2">
      <c r="M5819" s="309"/>
      <c r="AB5819" s="310"/>
    </row>
    <row r="5820" spans="13:28" s="308" customFormat="1" x14ac:dyDescent="0.2">
      <c r="M5820" s="309"/>
      <c r="AB5820" s="310"/>
    </row>
    <row r="5821" spans="13:28" s="308" customFormat="1" x14ac:dyDescent="0.2">
      <c r="M5821" s="309"/>
      <c r="AB5821" s="310"/>
    </row>
    <row r="5822" spans="13:28" s="308" customFormat="1" x14ac:dyDescent="0.2">
      <c r="M5822" s="309"/>
      <c r="AB5822" s="310"/>
    </row>
    <row r="5823" spans="13:28" s="308" customFormat="1" x14ac:dyDescent="0.2">
      <c r="M5823" s="309"/>
      <c r="AB5823" s="310"/>
    </row>
    <row r="5824" spans="13:28" s="308" customFormat="1" x14ac:dyDescent="0.2">
      <c r="M5824" s="309"/>
      <c r="AB5824" s="310"/>
    </row>
    <row r="5825" spans="13:28" s="308" customFormat="1" x14ac:dyDescent="0.2">
      <c r="M5825" s="309"/>
      <c r="AB5825" s="310"/>
    </row>
    <row r="5826" spans="13:28" s="308" customFormat="1" x14ac:dyDescent="0.2">
      <c r="M5826" s="309"/>
      <c r="AB5826" s="310"/>
    </row>
    <row r="5827" spans="13:28" s="308" customFormat="1" x14ac:dyDescent="0.2">
      <c r="M5827" s="309"/>
      <c r="AB5827" s="310"/>
    </row>
    <row r="5828" spans="13:28" s="308" customFormat="1" x14ac:dyDescent="0.2">
      <c r="M5828" s="309"/>
      <c r="AB5828" s="310"/>
    </row>
    <row r="5829" spans="13:28" s="308" customFormat="1" x14ac:dyDescent="0.2">
      <c r="M5829" s="309"/>
      <c r="AB5829" s="310"/>
    </row>
    <row r="5830" spans="13:28" s="308" customFormat="1" x14ac:dyDescent="0.2">
      <c r="M5830" s="309"/>
      <c r="AB5830" s="310"/>
    </row>
    <row r="5831" spans="13:28" s="308" customFormat="1" x14ac:dyDescent="0.2">
      <c r="M5831" s="309"/>
      <c r="AB5831" s="310"/>
    </row>
    <row r="5832" spans="13:28" s="308" customFormat="1" x14ac:dyDescent="0.2">
      <c r="M5832" s="309"/>
      <c r="AB5832" s="310"/>
    </row>
    <row r="5833" spans="13:28" s="308" customFormat="1" x14ac:dyDescent="0.2">
      <c r="M5833" s="309"/>
      <c r="AB5833" s="310"/>
    </row>
    <row r="5834" spans="13:28" s="308" customFormat="1" x14ac:dyDescent="0.2">
      <c r="M5834" s="309"/>
      <c r="AB5834" s="310"/>
    </row>
    <row r="5835" spans="13:28" s="308" customFormat="1" x14ac:dyDescent="0.2">
      <c r="M5835" s="309"/>
      <c r="AB5835" s="310"/>
    </row>
    <row r="5836" spans="13:28" s="308" customFormat="1" x14ac:dyDescent="0.2">
      <c r="M5836" s="309"/>
      <c r="AB5836" s="310"/>
    </row>
    <row r="5837" spans="13:28" s="308" customFormat="1" x14ac:dyDescent="0.2">
      <c r="M5837" s="309"/>
      <c r="AB5837" s="310"/>
    </row>
    <row r="5838" spans="13:28" s="308" customFormat="1" x14ac:dyDescent="0.2">
      <c r="M5838" s="309"/>
      <c r="AB5838" s="310"/>
    </row>
    <row r="5839" spans="13:28" s="308" customFormat="1" x14ac:dyDescent="0.2">
      <c r="M5839" s="309"/>
      <c r="AB5839" s="310"/>
    </row>
    <row r="5840" spans="13:28" s="308" customFormat="1" x14ac:dyDescent="0.2">
      <c r="M5840" s="309"/>
      <c r="AB5840" s="310"/>
    </row>
    <row r="5841" spans="13:28" s="308" customFormat="1" x14ac:dyDescent="0.2">
      <c r="M5841" s="309"/>
      <c r="AB5841" s="310"/>
    </row>
    <row r="5842" spans="13:28" s="308" customFormat="1" x14ac:dyDescent="0.2">
      <c r="M5842" s="309"/>
      <c r="AB5842" s="310"/>
    </row>
    <row r="5843" spans="13:28" s="308" customFormat="1" x14ac:dyDescent="0.2">
      <c r="M5843" s="309"/>
      <c r="AB5843" s="310"/>
    </row>
    <row r="5844" spans="13:28" s="308" customFormat="1" x14ac:dyDescent="0.2">
      <c r="M5844" s="309"/>
      <c r="AB5844" s="310"/>
    </row>
    <row r="5845" spans="13:28" s="308" customFormat="1" x14ac:dyDescent="0.2">
      <c r="M5845" s="309"/>
      <c r="AB5845" s="310"/>
    </row>
    <row r="5846" spans="13:28" s="308" customFormat="1" x14ac:dyDescent="0.2">
      <c r="M5846" s="309"/>
      <c r="AB5846" s="310"/>
    </row>
    <row r="5847" spans="13:28" s="308" customFormat="1" x14ac:dyDescent="0.2">
      <c r="M5847" s="309"/>
      <c r="AB5847" s="310"/>
    </row>
    <row r="5848" spans="13:28" s="308" customFormat="1" x14ac:dyDescent="0.2">
      <c r="M5848" s="309"/>
      <c r="AB5848" s="310"/>
    </row>
    <row r="5849" spans="13:28" s="308" customFormat="1" x14ac:dyDescent="0.2">
      <c r="M5849" s="309"/>
      <c r="AB5849" s="310"/>
    </row>
    <row r="5850" spans="13:28" s="308" customFormat="1" x14ac:dyDescent="0.2">
      <c r="M5850" s="309"/>
      <c r="AB5850" s="310"/>
    </row>
    <row r="5851" spans="13:28" s="308" customFormat="1" x14ac:dyDescent="0.2">
      <c r="M5851" s="309"/>
      <c r="AB5851" s="310"/>
    </row>
    <row r="5852" spans="13:28" s="308" customFormat="1" x14ac:dyDescent="0.2">
      <c r="M5852" s="309"/>
      <c r="AB5852" s="310"/>
    </row>
    <row r="5853" spans="13:28" s="308" customFormat="1" x14ac:dyDescent="0.2">
      <c r="M5853" s="309"/>
      <c r="AB5853" s="310"/>
    </row>
    <row r="5854" spans="13:28" s="308" customFormat="1" x14ac:dyDescent="0.2">
      <c r="M5854" s="309"/>
      <c r="AB5854" s="310"/>
    </row>
    <row r="5855" spans="13:28" s="308" customFormat="1" x14ac:dyDescent="0.2">
      <c r="M5855" s="309"/>
      <c r="AB5855" s="310"/>
    </row>
    <row r="5856" spans="13:28" s="308" customFormat="1" x14ac:dyDescent="0.2">
      <c r="M5856" s="309"/>
      <c r="AB5856" s="310"/>
    </row>
    <row r="5857" spans="13:28" s="308" customFormat="1" x14ac:dyDescent="0.2">
      <c r="M5857" s="309"/>
      <c r="AB5857" s="310"/>
    </row>
    <row r="5858" spans="13:28" s="308" customFormat="1" x14ac:dyDescent="0.2">
      <c r="M5858" s="309"/>
      <c r="AB5858" s="310"/>
    </row>
    <row r="5859" spans="13:28" s="308" customFormat="1" x14ac:dyDescent="0.2">
      <c r="M5859" s="309"/>
      <c r="AB5859" s="310"/>
    </row>
    <row r="5860" spans="13:28" s="308" customFormat="1" x14ac:dyDescent="0.2">
      <c r="M5860" s="309"/>
      <c r="AB5860" s="310"/>
    </row>
    <row r="5861" spans="13:28" s="308" customFormat="1" x14ac:dyDescent="0.2">
      <c r="M5861" s="309"/>
      <c r="AB5861" s="310"/>
    </row>
    <row r="5862" spans="13:28" s="308" customFormat="1" x14ac:dyDescent="0.2">
      <c r="M5862" s="309"/>
      <c r="AB5862" s="310"/>
    </row>
    <row r="5863" spans="13:28" s="308" customFormat="1" x14ac:dyDescent="0.2">
      <c r="M5863" s="309"/>
      <c r="AB5863" s="310"/>
    </row>
    <row r="5864" spans="13:28" s="308" customFormat="1" x14ac:dyDescent="0.2">
      <c r="M5864" s="309"/>
      <c r="AB5864" s="310"/>
    </row>
    <row r="5865" spans="13:28" s="308" customFormat="1" x14ac:dyDescent="0.2">
      <c r="M5865" s="309"/>
      <c r="AB5865" s="310"/>
    </row>
    <row r="5866" spans="13:28" s="308" customFormat="1" x14ac:dyDescent="0.2">
      <c r="M5866" s="309"/>
      <c r="AB5866" s="310"/>
    </row>
    <row r="5867" spans="13:28" s="308" customFormat="1" x14ac:dyDescent="0.2">
      <c r="M5867" s="309"/>
      <c r="AB5867" s="310"/>
    </row>
    <row r="5868" spans="13:28" s="308" customFormat="1" x14ac:dyDescent="0.2">
      <c r="M5868" s="309"/>
      <c r="AB5868" s="310"/>
    </row>
    <row r="5869" spans="13:28" s="308" customFormat="1" x14ac:dyDescent="0.2">
      <c r="M5869" s="309"/>
      <c r="AB5869" s="310"/>
    </row>
    <row r="5870" spans="13:28" s="308" customFormat="1" x14ac:dyDescent="0.2">
      <c r="M5870" s="309"/>
      <c r="AB5870" s="310"/>
    </row>
    <row r="5871" spans="13:28" s="308" customFormat="1" x14ac:dyDescent="0.2">
      <c r="M5871" s="309"/>
      <c r="AB5871" s="310"/>
    </row>
    <row r="5872" spans="13:28" s="308" customFormat="1" x14ac:dyDescent="0.2">
      <c r="M5872" s="309"/>
      <c r="AB5872" s="310"/>
    </row>
    <row r="5873" spans="13:28" s="308" customFormat="1" x14ac:dyDescent="0.2">
      <c r="M5873" s="309"/>
      <c r="AB5873" s="310"/>
    </row>
    <row r="5874" spans="13:28" s="308" customFormat="1" x14ac:dyDescent="0.2">
      <c r="M5874" s="309"/>
      <c r="AB5874" s="310"/>
    </row>
    <row r="5875" spans="13:28" s="308" customFormat="1" x14ac:dyDescent="0.2">
      <c r="M5875" s="309"/>
      <c r="AB5875" s="310"/>
    </row>
    <row r="5876" spans="13:28" s="308" customFormat="1" x14ac:dyDescent="0.2">
      <c r="M5876" s="309"/>
      <c r="AB5876" s="310"/>
    </row>
    <row r="5877" spans="13:28" s="308" customFormat="1" x14ac:dyDescent="0.2">
      <c r="M5877" s="309"/>
      <c r="AB5877" s="310"/>
    </row>
    <row r="5878" spans="13:28" s="308" customFormat="1" x14ac:dyDescent="0.2">
      <c r="M5878" s="309"/>
      <c r="AB5878" s="310"/>
    </row>
    <row r="5879" spans="13:28" s="308" customFormat="1" x14ac:dyDescent="0.2">
      <c r="M5879" s="309"/>
      <c r="AB5879" s="310"/>
    </row>
    <row r="5880" spans="13:28" s="308" customFormat="1" x14ac:dyDescent="0.2">
      <c r="M5880" s="309"/>
      <c r="AB5880" s="310"/>
    </row>
    <row r="5881" spans="13:28" s="308" customFormat="1" x14ac:dyDescent="0.2">
      <c r="M5881" s="309"/>
      <c r="AB5881" s="310"/>
    </row>
    <row r="5882" spans="13:28" s="308" customFormat="1" x14ac:dyDescent="0.2">
      <c r="M5882" s="309"/>
      <c r="AB5882" s="310"/>
    </row>
    <row r="5883" spans="13:28" s="308" customFormat="1" x14ac:dyDescent="0.2">
      <c r="M5883" s="309"/>
      <c r="AB5883" s="310"/>
    </row>
    <row r="5884" spans="13:28" s="308" customFormat="1" x14ac:dyDescent="0.2">
      <c r="M5884" s="309"/>
      <c r="AB5884" s="310"/>
    </row>
    <row r="5885" spans="13:28" s="308" customFormat="1" x14ac:dyDescent="0.2">
      <c r="M5885" s="309"/>
      <c r="AB5885" s="310"/>
    </row>
    <row r="5886" spans="13:28" s="308" customFormat="1" x14ac:dyDescent="0.2">
      <c r="M5886" s="309"/>
      <c r="AB5886" s="310"/>
    </row>
    <row r="5887" spans="13:28" s="308" customFormat="1" x14ac:dyDescent="0.2">
      <c r="M5887" s="309"/>
      <c r="AB5887" s="310"/>
    </row>
    <row r="5888" spans="13:28" s="308" customFormat="1" x14ac:dyDescent="0.2">
      <c r="M5888" s="309"/>
      <c r="AB5888" s="310"/>
    </row>
    <row r="5889" spans="13:28" s="308" customFormat="1" x14ac:dyDescent="0.2">
      <c r="M5889" s="309"/>
      <c r="AB5889" s="310"/>
    </row>
    <row r="5890" spans="13:28" s="308" customFormat="1" x14ac:dyDescent="0.2">
      <c r="M5890" s="309"/>
      <c r="AB5890" s="310"/>
    </row>
    <row r="5891" spans="13:28" s="308" customFormat="1" x14ac:dyDescent="0.2">
      <c r="M5891" s="309"/>
      <c r="AB5891" s="310"/>
    </row>
    <row r="5892" spans="13:28" s="308" customFormat="1" x14ac:dyDescent="0.2">
      <c r="M5892" s="309"/>
      <c r="AB5892" s="310"/>
    </row>
    <row r="5893" spans="13:28" s="308" customFormat="1" x14ac:dyDescent="0.2">
      <c r="M5893" s="309"/>
      <c r="AB5893" s="310"/>
    </row>
    <row r="5894" spans="13:28" s="308" customFormat="1" x14ac:dyDescent="0.2">
      <c r="M5894" s="309"/>
      <c r="AB5894" s="310"/>
    </row>
    <row r="5895" spans="13:28" s="308" customFormat="1" x14ac:dyDescent="0.2">
      <c r="M5895" s="309"/>
      <c r="AB5895" s="310"/>
    </row>
    <row r="5896" spans="13:28" s="308" customFormat="1" x14ac:dyDescent="0.2">
      <c r="M5896" s="309"/>
      <c r="AB5896" s="310"/>
    </row>
    <row r="5897" spans="13:28" s="308" customFormat="1" x14ac:dyDescent="0.2">
      <c r="M5897" s="309"/>
      <c r="AB5897" s="310"/>
    </row>
    <row r="5898" spans="13:28" s="308" customFormat="1" x14ac:dyDescent="0.2">
      <c r="M5898" s="309"/>
      <c r="AB5898" s="310"/>
    </row>
    <row r="5899" spans="13:28" s="308" customFormat="1" x14ac:dyDescent="0.2">
      <c r="M5899" s="309"/>
      <c r="AB5899" s="310"/>
    </row>
    <row r="5900" spans="13:28" s="308" customFormat="1" x14ac:dyDescent="0.2">
      <c r="M5900" s="309"/>
      <c r="AB5900" s="310"/>
    </row>
    <row r="5901" spans="13:28" s="308" customFormat="1" x14ac:dyDescent="0.2">
      <c r="M5901" s="309"/>
      <c r="AB5901" s="310"/>
    </row>
    <row r="5902" spans="13:28" s="308" customFormat="1" x14ac:dyDescent="0.2">
      <c r="M5902" s="309"/>
      <c r="AB5902" s="310"/>
    </row>
    <row r="5903" spans="13:28" s="308" customFormat="1" x14ac:dyDescent="0.2">
      <c r="M5903" s="309"/>
      <c r="AB5903" s="310"/>
    </row>
    <row r="5904" spans="13:28" s="308" customFormat="1" x14ac:dyDescent="0.2">
      <c r="M5904" s="309"/>
      <c r="AB5904" s="310"/>
    </row>
    <row r="5905" spans="13:28" s="308" customFormat="1" x14ac:dyDescent="0.2">
      <c r="M5905" s="309"/>
      <c r="AB5905" s="310"/>
    </row>
    <row r="5906" spans="13:28" s="308" customFormat="1" x14ac:dyDescent="0.2">
      <c r="M5906" s="309"/>
      <c r="AB5906" s="310"/>
    </row>
    <row r="5907" spans="13:28" s="308" customFormat="1" x14ac:dyDescent="0.2">
      <c r="M5907" s="309"/>
      <c r="AB5907" s="310"/>
    </row>
    <row r="5908" spans="13:28" s="308" customFormat="1" x14ac:dyDescent="0.2">
      <c r="M5908" s="309"/>
      <c r="AB5908" s="310"/>
    </row>
    <row r="5909" spans="13:28" s="308" customFormat="1" x14ac:dyDescent="0.2">
      <c r="M5909" s="309"/>
      <c r="AB5909" s="310"/>
    </row>
    <row r="5910" spans="13:28" s="308" customFormat="1" x14ac:dyDescent="0.2">
      <c r="M5910" s="309"/>
      <c r="AB5910" s="310"/>
    </row>
    <row r="5911" spans="13:28" s="308" customFormat="1" x14ac:dyDescent="0.2">
      <c r="M5911" s="309"/>
      <c r="AB5911" s="310"/>
    </row>
    <row r="5912" spans="13:28" s="308" customFormat="1" x14ac:dyDescent="0.2">
      <c r="M5912" s="309"/>
      <c r="AB5912" s="310"/>
    </row>
    <row r="5913" spans="13:28" s="308" customFormat="1" x14ac:dyDescent="0.2">
      <c r="M5913" s="309"/>
      <c r="AB5913" s="310"/>
    </row>
    <row r="5914" spans="13:28" s="308" customFormat="1" x14ac:dyDescent="0.2">
      <c r="M5914" s="309"/>
      <c r="AB5914" s="310"/>
    </row>
    <row r="5915" spans="13:28" s="308" customFormat="1" x14ac:dyDescent="0.2">
      <c r="M5915" s="309"/>
      <c r="AB5915" s="310"/>
    </row>
    <row r="5916" spans="13:28" s="308" customFormat="1" x14ac:dyDescent="0.2">
      <c r="M5916" s="309"/>
      <c r="AB5916" s="310"/>
    </row>
    <row r="5917" spans="13:28" s="308" customFormat="1" x14ac:dyDescent="0.2">
      <c r="M5917" s="309"/>
      <c r="AB5917" s="310"/>
    </row>
    <row r="5918" spans="13:28" s="308" customFormat="1" x14ac:dyDescent="0.2">
      <c r="M5918" s="309"/>
      <c r="AB5918" s="310"/>
    </row>
    <row r="5919" spans="13:28" s="308" customFormat="1" x14ac:dyDescent="0.2">
      <c r="M5919" s="309"/>
      <c r="AB5919" s="310"/>
    </row>
    <row r="5920" spans="13:28" s="308" customFormat="1" x14ac:dyDescent="0.2">
      <c r="M5920" s="309"/>
      <c r="AB5920" s="310"/>
    </row>
    <row r="5921" spans="13:28" s="308" customFormat="1" x14ac:dyDescent="0.2">
      <c r="M5921" s="309"/>
      <c r="AB5921" s="310"/>
    </row>
    <row r="5922" spans="13:28" s="308" customFormat="1" x14ac:dyDescent="0.2">
      <c r="M5922" s="309"/>
      <c r="AB5922" s="310"/>
    </row>
    <row r="5923" spans="13:28" s="308" customFormat="1" x14ac:dyDescent="0.2">
      <c r="M5923" s="309"/>
      <c r="AB5923" s="310"/>
    </row>
    <row r="5924" spans="13:28" s="308" customFormat="1" x14ac:dyDescent="0.2">
      <c r="M5924" s="309"/>
      <c r="AB5924" s="310"/>
    </row>
    <row r="5925" spans="13:28" s="308" customFormat="1" x14ac:dyDescent="0.2">
      <c r="M5925" s="309"/>
      <c r="AB5925" s="310"/>
    </row>
    <row r="5926" spans="13:28" s="308" customFormat="1" x14ac:dyDescent="0.2">
      <c r="M5926" s="309"/>
      <c r="AB5926" s="310"/>
    </row>
    <row r="5927" spans="13:28" s="308" customFormat="1" x14ac:dyDescent="0.2">
      <c r="M5927" s="309"/>
      <c r="AB5927" s="310"/>
    </row>
    <row r="5928" spans="13:28" s="308" customFormat="1" x14ac:dyDescent="0.2">
      <c r="M5928" s="309"/>
      <c r="AB5928" s="310"/>
    </row>
    <row r="5929" spans="13:28" s="308" customFormat="1" x14ac:dyDescent="0.2">
      <c r="M5929" s="309"/>
      <c r="AB5929" s="310"/>
    </row>
    <row r="5930" spans="13:28" s="308" customFormat="1" x14ac:dyDescent="0.2">
      <c r="M5930" s="309"/>
      <c r="AB5930" s="310"/>
    </row>
    <row r="5931" spans="13:28" s="308" customFormat="1" x14ac:dyDescent="0.2">
      <c r="M5931" s="309"/>
      <c r="AB5931" s="310"/>
    </row>
    <row r="5932" spans="13:28" s="308" customFormat="1" x14ac:dyDescent="0.2">
      <c r="M5932" s="309"/>
      <c r="AB5932" s="310"/>
    </row>
    <row r="5933" spans="13:28" s="308" customFormat="1" x14ac:dyDescent="0.2">
      <c r="M5933" s="309"/>
      <c r="AB5933" s="310"/>
    </row>
    <row r="5934" spans="13:28" s="308" customFormat="1" x14ac:dyDescent="0.2">
      <c r="M5934" s="309"/>
      <c r="AB5934" s="310"/>
    </row>
    <row r="5935" spans="13:28" s="308" customFormat="1" x14ac:dyDescent="0.2">
      <c r="M5935" s="309"/>
      <c r="AB5935" s="310"/>
    </row>
    <row r="5936" spans="13:28" s="308" customFormat="1" x14ac:dyDescent="0.2">
      <c r="M5936" s="309"/>
      <c r="AB5936" s="310"/>
    </row>
    <row r="5937" spans="13:28" s="308" customFormat="1" x14ac:dyDescent="0.2">
      <c r="M5937" s="309"/>
      <c r="AB5937" s="310"/>
    </row>
    <row r="5938" spans="13:28" s="308" customFormat="1" x14ac:dyDescent="0.2">
      <c r="M5938" s="309"/>
      <c r="AB5938" s="310"/>
    </row>
    <row r="5939" spans="13:28" s="308" customFormat="1" x14ac:dyDescent="0.2">
      <c r="M5939" s="309"/>
      <c r="AB5939" s="310"/>
    </row>
    <row r="5940" spans="13:28" s="308" customFormat="1" x14ac:dyDescent="0.2">
      <c r="M5940" s="309"/>
      <c r="AB5940" s="310"/>
    </row>
    <row r="5941" spans="13:28" s="308" customFormat="1" x14ac:dyDescent="0.2">
      <c r="M5941" s="309"/>
      <c r="AB5941" s="310"/>
    </row>
    <row r="5942" spans="13:28" s="308" customFormat="1" x14ac:dyDescent="0.2">
      <c r="M5942" s="309"/>
      <c r="AB5942" s="310"/>
    </row>
    <row r="5943" spans="13:28" s="308" customFormat="1" x14ac:dyDescent="0.2">
      <c r="M5943" s="309"/>
      <c r="AB5943" s="310"/>
    </row>
    <row r="5944" spans="13:28" s="308" customFormat="1" x14ac:dyDescent="0.2">
      <c r="M5944" s="309"/>
      <c r="AB5944" s="310"/>
    </row>
    <row r="5945" spans="13:28" s="308" customFormat="1" x14ac:dyDescent="0.2">
      <c r="M5945" s="309"/>
      <c r="AB5945" s="310"/>
    </row>
    <row r="5946" spans="13:28" s="308" customFormat="1" x14ac:dyDescent="0.2">
      <c r="M5946" s="309"/>
      <c r="AB5946" s="310"/>
    </row>
    <row r="5947" spans="13:28" s="308" customFormat="1" x14ac:dyDescent="0.2">
      <c r="M5947" s="309"/>
      <c r="AB5947" s="310"/>
    </row>
    <row r="5948" spans="13:28" s="308" customFormat="1" x14ac:dyDescent="0.2">
      <c r="M5948" s="309"/>
      <c r="AB5948" s="310"/>
    </row>
    <row r="5949" spans="13:28" s="308" customFormat="1" x14ac:dyDescent="0.2">
      <c r="M5949" s="309"/>
      <c r="AB5949" s="310"/>
    </row>
    <row r="5950" spans="13:28" s="308" customFormat="1" x14ac:dyDescent="0.2">
      <c r="M5950" s="309"/>
      <c r="AB5950" s="310"/>
    </row>
    <row r="5951" spans="13:28" s="308" customFormat="1" x14ac:dyDescent="0.2">
      <c r="M5951" s="309"/>
      <c r="AB5951" s="310"/>
    </row>
    <row r="5952" spans="13:28" s="308" customFormat="1" x14ac:dyDescent="0.2">
      <c r="M5952" s="309"/>
      <c r="AB5952" s="310"/>
    </row>
    <row r="5953" spans="13:28" s="308" customFormat="1" x14ac:dyDescent="0.2">
      <c r="M5953" s="309"/>
      <c r="AB5953" s="310"/>
    </row>
    <row r="5954" spans="13:28" s="308" customFormat="1" x14ac:dyDescent="0.2">
      <c r="M5954" s="309"/>
      <c r="AB5954" s="310"/>
    </row>
    <row r="5955" spans="13:28" s="308" customFormat="1" x14ac:dyDescent="0.2">
      <c r="M5955" s="309"/>
      <c r="AB5955" s="310"/>
    </row>
    <row r="5956" spans="13:28" s="308" customFormat="1" x14ac:dyDescent="0.2">
      <c r="M5956" s="309"/>
      <c r="AB5956" s="310"/>
    </row>
    <row r="5957" spans="13:28" s="308" customFormat="1" x14ac:dyDescent="0.2">
      <c r="M5957" s="309"/>
      <c r="AB5957" s="310"/>
    </row>
    <row r="5958" spans="13:28" s="308" customFormat="1" x14ac:dyDescent="0.2">
      <c r="M5958" s="309"/>
      <c r="AB5958" s="310"/>
    </row>
    <row r="5959" spans="13:28" s="308" customFormat="1" x14ac:dyDescent="0.2">
      <c r="M5959" s="309"/>
      <c r="AB5959" s="310"/>
    </row>
    <row r="5960" spans="13:28" s="308" customFormat="1" x14ac:dyDescent="0.2">
      <c r="M5960" s="309"/>
      <c r="AB5960" s="310"/>
    </row>
    <row r="5961" spans="13:28" s="308" customFormat="1" x14ac:dyDescent="0.2">
      <c r="M5961" s="309"/>
      <c r="AB5961" s="310"/>
    </row>
    <row r="5962" spans="13:28" s="308" customFormat="1" x14ac:dyDescent="0.2">
      <c r="M5962" s="309"/>
      <c r="AB5962" s="310"/>
    </row>
    <row r="5963" spans="13:28" s="308" customFormat="1" x14ac:dyDescent="0.2">
      <c r="M5963" s="309"/>
      <c r="AB5963" s="310"/>
    </row>
    <row r="5964" spans="13:28" s="308" customFormat="1" x14ac:dyDescent="0.2">
      <c r="M5964" s="309"/>
      <c r="AB5964" s="310"/>
    </row>
    <row r="5965" spans="13:28" s="308" customFormat="1" x14ac:dyDescent="0.2">
      <c r="M5965" s="309"/>
      <c r="AB5965" s="310"/>
    </row>
    <row r="5966" spans="13:28" s="308" customFormat="1" x14ac:dyDescent="0.2">
      <c r="M5966" s="309"/>
      <c r="AB5966" s="310"/>
    </row>
    <row r="5967" spans="13:28" s="308" customFormat="1" x14ac:dyDescent="0.2">
      <c r="M5967" s="309"/>
      <c r="AB5967" s="310"/>
    </row>
    <row r="5968" spans="13:28" s="308" customFormat="1" x14ac:dyDescent="0.2">
      <c r="M5968" s="309"/>
      <c r="AB5968" s="310"/>
    </row>
    <row r="5969" spans="13:28" s="308" customFormat="1" x14ac:dyDescent="0.2">
      <c r="M5969" s="309"/>
      <c r="AB5969" s="310"/>
    </row>
    <row r="5970" spans="13:28" s="308" customFormat="1" x14ac:dyDescent="0.2">
      <c r="M5970" s="309"/>
      <c r="AB5970" s="310"/>
    </row>
    <row r="5971" spans="13:28" s="308" customFormat="1" x14ac:dyDescent="0.2">
      <c r="M5971" s="309"/>
      <c r="AB5971" s="310"/>
    </row>
    <row r="5972" spans="13:28" s="308" customFormat="1" x14ac:dyDescent="0.2">
      <c r="M5972" s="309"/>
      <c r="AB5972" s="310"/>
    </row>
    <row r="5973" spans="13:28" s="308" customFormat="1" x14ac:dyDescent="0.2">
      <c r="M5973" s="309"/>
      <c r="AB5973" s="310"/>
    </row>
    <row r="5974" spans="13:28" s="308" customFormat="1" x14ac:dyDescent="0.2">
      <c r="M5974" s="309"/>
      <c r="AB5974" s="310"/>
    </row>
    <row r="5975" spans="13:28" s="308" customFormat="1" x14ac:dyDescent="0.2">
      <c r="M5975" s="309"/>
      <c r="AB5975" s="310"/>
    </row>
    <row r="5976" spans="13:28" s="308" customFormat="1" x14ac:dyDescent="0.2">
      <c r="M5976" s="309"/>
      <c r="AB5976" s="310"/>
    </row>
    <row r="5977" spans="13:28" s="308" customFormat="1" x14ac:dyDescent="0.2">
      <c r="M5977" s="309"/>
      <c r="AB5977" s="310"/>
    </row>
    <row r="5978" spans="13:28" s="308" customFormat="1" x14ac:dyDescent="0.2">
      <c r="M5978" s="309"/>
      <c r="AB5978" s="310"/>
    </row>
    <row r="5979" spans="13:28" s="308" customFormat="1" x14ac:dyDescent="0.2">
      <c r="M5979" s="309"/>
      <c r="AB5979" s="310"/>
    </row>
    <row r="5980" spans="13:28" s="308" customFormat="1" x14ac:dyDescent="0.2">
      <c r="M5980" s="309"/>
      <c r="AB5980" s="310"/>
    </row>
    <row r="5981" spans="13:28" s="308" customFormat="1" x14ac:dyDescent="0.2">
      <c r="M5981" s="309"/>
      <c r="AB5981" s="310"/>
    </row>
    <row r="5982" spans="13:28" s="308" customFormat="1" x14ac:dyDescent="0.2">
      <c r="M5982" s="309"/>
      <c r="AB5982" s="310"/>
    </row>
    <row r="5983" spans="13:28" s="308" customFormat="1" x14ac:dyDescent="0.2">
      <c r="M5983" s="309"/>
      <c r="AB5983" s="310"/>
    </row>
    <row r="5984" spans="13:28" s="308" customFormat="1" x14ac:dyDescent="0.2">
      <c r="M5984" s="309"/>
      <c r="AB5984" s="310"/>
    </row>
    <row r="5985" spans="13:28" s="308" customFormat="1" x14ac:dyDescent="0.2">
      <c r="M5985" s="309"/>
      <c r="AB5985" s="310"/>
    </row>
    <row r="5986" spans="13:28" s="308" customFormat="1" x14ac:dyDescent="0.2">
      <c r="M5986" s="309"/>
      <c r="AB5986" s="310"/>
    </row>
    <row r="5987" spans="13:28" s="308" customFormat="1" x14ac:dyDescent="0.2">
      <c r="M5987" s="309"/>
      <c r="AB5987" s="310"/>
    </row>
    <row r="5988" spans="13:28" s="308" customFormat="1" x14ac:dyDescent="0.2">
      <c r="M5988" s="309"/>
      <c r="AB5988" s="310"/>
    </row>
    <row r="5989" spans="13:28" s="308" customFormat="1" x14ac:dyDescent="0.2">
      <c r="M5989" s="309"/>
      <c r="AB5989" s="310"/>
    </row>
    <row r="5990" spans="13:28" s="308" customFormat="1" x14ac:dyDescent="0.2">
      <c r="M5990" s="309"/>
      <c r="AB5990" s="310"/>
    </row>
    <row r="5991" spans="13:28" s="308" customFormat="1" x14ac:dyDescent="0.2">
      <c r="M5991" s="309"/>
      <c r="AB5991" s="310"/>
    </row>
    <row r="5992" spans="13:28" s="308" customFormat="1" x14ac:dyDescent="0.2">
      <c r="M5992" s="309"/>
      <c r="AB5992" s="310"/>
    </row>
    <row r="5993" spans="13:28" s="308" customFormat="1" x14ac:dyDescent="0.2">
      <c r="M5993" s="309"/>
      <c r="AB5993" s="310"/>
    </row>
    <row r="5994" spans="13:28" s="308" customFormat="1" x14ac:dyDescent="0.2">
      <c r="M5994" s="309"/>
      <c r="AB5994" s="310"/>
    </row>
    <row r="5995" spans="13:28" s="308" customFormat="1" x14ac:dyDescent="0.2">
      <c r="M5995" s="309"/>
      <c r="AB5995" s="310"/>
    </row>
    <row r="5996" spans="13:28" s="308" customFormat="1" x14ac:dyDescent="0.2">
      <c r="M5996" s="309"/>
      <c r="AB5996" s="310"/>
    </row>
    <row r="5997" spans="13:28" s="308" customFormat="1" x14ac:dyDescent="0.2">
      <c r="M5997" s="309"/>
      <c r="AB5997" s="310"/>
    </row>
    <row r="5998" spans="13:28" s="308" customFormat="1" x14ac:dyDescent="0.2">
      <c r="M5998" s="309"/>
      <c r="AB5998" s="310"/>
    </row>
    <row r="5999" spans="13:28" s="308" customFormat="1" x14ac:dyDescent="0.2">
      <c r="M5999" s="309"/>
      <c r="AB5999" s="310"/>
    </row>
    <row r="6000" spans="13:28" s="308" customFormat="1" x14ac:dyDescent="0.2">
      <c r="M6000" s="309"/>
      <c r="AB6000" s="310"/>
    </row>
    <row r="6001" spans="13:28" s="308" customFormat="1" x14ac:dyDescent="0.2">
      <c r="M6001" s="309"/>
      <c r="AB6001" s="310"/>
    </row>
    <row r="6002" spans="13:28" s="308" customFormat="1" x14ac:dyDescent="0.2">
      <c r="M6002" s="309"/>
      <c r="AB6002" s="310"/>
    </row>
    <row r="6003" spans="13:28" s="308" customFormat="1" x14ac:dyDescent="0.2">
      <c r="M6003" s="309"/>
      <c r="AB6003" s="310"/>
    </row>
    <row r="6004" spans="13:28" s="308" customFormat="1" x14ac:dyDescent="0.2">
      <c r="M6004" s="309"/>
      <c r="AB6004" s="310"/>
    </row>
    <row r="6005" spans="13:28" s="308" customFormat="1" x14ac:dyDescent="0.2">
      <c r="M6005" s="309"/>
      <c r="AB6005" s="310"/>
    </row>
    <row r="6006" spans="13:28" s="308" customFormat="1" x14ac:dyDescent="0.2">
      <c r="M6006" s="309"/>
      <c r="AB6006" s="310"/>
    </row>
    <row r="6007" spans="13:28" s="308" customFormat="1" x14ac:dyDescent="0.2">
      <c r="M6007" s="309"/>
      <c r="AB6007" s="310"/>
    </row>
    <row r="6008" spans="13:28" s="308" customFormat="1" x14ac:dyDescent="0.2">
      <c r="M6008" s="309"/>
      <c r="AB6008" s="310"/>
    </row>
    <row r="6009" spans="13:28" s="308" customFormat="1" x14ac:dyDescent="0.2">
      <c r="M6009" s="309"/>
      <c r="AB6009" s="310"/>
    </row>
    <row r="6010" spans="13:28" s="308" customFormat="1" x14ac:dyDescent="0.2">
      <c r="M6010" s="309"/>
      <c r="AB6010" s="310"/>
    </row>
    <row r="6011" spans="13:28" s="308" customFormat="1" x14ac:dyDescent="0.2">
      <c r="M6011" s="309"/>
      <c r="AB6011" s="310"/>
    </row>
    <row r="6012" spans="13:28" s="308" customFormat="1" x14ac:dyDescent="0.2">
      <c r="M6012" s="309"/>
      <c r="AB6012" s="310"/>
    </row>
    <row r="6013" spans="13:28" s="308" customFormat="1" x14ac:dyDescent="0.2">
      <c r="M6013" s="309"/>
      <c r="AB6013" s="310"/>
    </row>
    <row r="6014" spans="13:28" s="308" customFormat="1" x14ac:dyDescent="0.2">
      <c r="M6014" s="309"/>
      <c r="AB6014" s="310"/>
    </row>
    <row r="6015" spans="13:28" s="308" customFormat="1" x14ac:dyDescent="0.2">
      <c r="M6015" s="309"/>
      <c r="AB6015" s="310"/>
    </row>
    <row r="6016" spans="13:28" s="308" customFormat="1" x14ac:dyDescent="0.2">
      <c r="M6016" s="309"/>
      <c r="AB6016" s="310"/>
    </row>
    <row r="6017" spans="13:28" s="308" customFormat="1" x14ac:dyDescent="0.2">
      <c r="M6017" s="309"/>
      <c r="AB6017" s="310"/>
    </row>
    <row r="6018" spans="13:28" s="308" customFormat="1" x14ac:dyDescent="0.2">
      <c r="M6018" s="309"/>
      <c r="AB6018" s="310"/>
    </row>
    <row r="6019" spans="13:28" s="308" customFormat="1" x14ac:dyDescent="0.2">
      <c r="M6019" s="309"/>
      <c r="AB6019" s="310"/>
    </row>
    <row r="6020" spans="13:28" s="308" customFormat="1" x14ac:dyDescent="0.2">
      <c r="M6020" s="309"/>
      <c r="AB6020" s="310"/>
    </row>
    <row r="6021" spans="13:28" s="308" customFormat="1" x14ac:dyDescent="0.2">
      <c r="M6021" s="309"/>
      <c r="AB6021" s="310"/>
    </row>
    <row r="6022" spans="13:28" s="308" customFormat="1" x14ac:dyDescent="0.2">
      <c r="M6022" s="309"/>
      <c r="AB6022" s="310"/>
    </row>
    <row r="6023" spans="13:28" s="308" customFormat="1" x14ac:dyDescent="0.2">
      <c r="M6023" s="309"/>
      <c r="AB6023" s="310"/>
    </row>
    <row r="6024" spans="13:28" s="308" customFormat="1" x14ac:dyDescent="0.2">
      <c r="M6024" s="309"/>
      <c r="AB6024" s="310"/>
    </row>
    <row r="6025" spans="13:28" s="308" customFormat="1" x14ac:dyDescent="0.2">
      <c r="M6025" s="309"/>
      <c r="AB6025" s="310"/>
    </row>
    <row r="6026" spans="13:28" s="308" customFormat="1" x14ac:dyDescent="0.2">
      <c r="M6026" s="309"/>
      <c r="AB6026" s="310"/>
    </row>
    <row r="6027" spans="13:28" s="308" customFormat="1" x14ac:dyDescent="0.2">
      <c r="M6027" s="309"/>
      <c r="AB6027" s="310"/>
    </row>
    <row r="6028" spans="13:28" s="308" customFormat="1" x14ac:dyDescent="0.2">
      <c r="M6028" s="309"/>
      <c r="AB6028" s="310"/>
    </row>
    <row r="6029" spans="13:28" s="308" customFormat="1" x14ac:dyDescent="0.2">
      <c r="M6029" s="309"/>
      <c r="AB6029" s="310"/>
    </row>
    <row r="6030" spans="13:28" s="308" customFormat="1" x14ac:dyDescent="0.2">
      <c r="M6030" s="309"/>
      <c r="AB6030" s="310"/>
    </row>
    <row r="6031" spans="13:28" s="308" customFormat="1" x14ac:dyDescent="0.2">
      <c r="M6031" s="309"/>
      <c r="AB6031" s="310"/>
    </row>
    <row r="6032" spans="13:28" s="308" customFormat="1" x14ac:dyDescent="0.2">
      <c r="M6032" s="309"/>
      <c r="AB6032" s="310"/>
    </row>
    <row r="6033" spans="13:28" s="308" customFormat="1" x14ac:dyDescent="0.2">
      <c r="M6033" s="309"/>
      <c r="AB6033" s="310"/>
    </row>
    <row r="6034" spans="13:28" s="308" customFormat="1" x14ac:dyDescent="0.2">
      <c r="M6034" s="309"/>
      <c r="AB6034" s="310"/>
    </row>
    <row r="6035" spans="13:28" s="308" customFormat="1" x14ac:dyDescent="0.2">
      <c r="M6035" s="309"/>
      <c r="AB6035" s="310"/>
    </row>
    <row r="6036" spans="13:28" s="308" customFormat="1" x14ac:dyDescent="0.2">
      <c r="M6036" s="309"/>
      <c r="AB6036" s="310"/>
    </row>
    <row r="6037" spans="13:28" s="308" customFormat="1" x14ac:dyDescent="0.2">
      <c r="M6037" s="309"/>
      <c r="AB6037" s="310"/>
    </row>
    <row r="6038" spans="13:28" s="308" customFormat="1" x14ac:dyDescent="0.2">
      <c r="M6038" s="309"/>
      <c r="AB6038" s="310"/>
    </row>
    <row r="6039" spans="13:28" s="308" customFormat="1" x14ac:dyDescent="0.2">
      <c r="M6039" s="309"/>
      <c r="AB6039" s="310"/>
    </row>
    <row r="6040" spans="13:28" s="308" customFormat="1" x14ac:dyDescent="0.2">
      <c r="M6040" s="309"/>
      <c r="AB6040" s="310"/>
    </row>
    <row r="6041" spans="13:28" s="308" customFormat="1" x14ac:dyDescent="0.2">
      <c r="M6041" s="309"/>
      <c r="AB6041" s="310"/>
    </row>
    <row r="6042" spans="13:28" s="308" customFormat="1" x14ac:dyDescent="0.2">
      <c r="M6042" s="309"/>
      <c r="AB6042" s="310"/>
    </row>
    <row r="6043" spans="13:28" s="308" customFormat="1" x14ac:dyDescent="0.2">
      <c r="M6043" s="309"/>
      <c r="AB6043" s="310"/>
    </row>
    <row r="6044" spans="13:28" s="308" customFormat="1" x14ac:dyDescent="0.2">
      <c r="M6044" s="309"/>
      <c r="AB6044" s="310"/>
    </row>
    <row r="6045" spans="13:28" s="308" customFormat="1" x14ac:dyDescent="0.2">
      <c r="M6045" s="309"/>
      <c r="AB6045" s="310"/>
    </row>
    <row r="6046" spans="13:28" s="308" customFormat="1" x14ac:dyDescent="0.2">
      <c r="M6046" s="309"/>
      <c r="AB6046" s="310"/>
    </row>
    <row r="6047" spans="13:28" s="308" customFormat="1" x14ac:dyDescent="0.2">
      <c r="M6047" s="309"/>
      <c r="AB6047" s="310"/>
    </row>
    <row r="6048" spans="13:28" s="308" customFormat="1" x14ac:dyDescent="0.2">
      <c r="M6048" s="309"/>
      <c r="AB6048" s="310"/>
    </row>
    <row r="6049" spans="13:28" s="308" customFormat="1" x14ac:dyDescent="0.2">
      <c r="M6049" s="309"/>
      <c r="AB6049" s="310"/>
    </row>
    <row r="6050" spans="13:28" s="308" customFormat="1" x14ac:dyDescent="0.2">
      <c r="M6050" s="309"/>
      <c r="AB6050" s="310"/>
    </row>
    <row r="6051" spans="13:28" s="308" customFormat="1" x14ac:dyDescent="0.2">
      <c r="M6051" s="309"/>
      <c r="AB6051" s="310"/>
    </row>
    <row r="6052" spans="13:28" s="308" customFormat="1" x14ac:dyDescent="0.2">
      <c r="M6052" s="309"/>
      <c r="AB6052" s="310"/>
    </row>
    <row r="6053" spans="13:28" s="308" customFormat="1" x14ac:dyDescent="0.2">
      <c r="M6053" s="309"/>
      <c r="AB6053" s="310"/>
    </row>
    <row r="6054" spans="13:28" s="308" customFormat="1" x14ac:dyDescent="0.2">
      <c r="M6054" s="309"/>
      <c r="AB6054" s="310"/>
    </row>
    <row r="6055" spans="13:28" s="308" customFormat="1" x14ac:dyDescent="0.2">
      <c r="M6055" s="309"/>
      <c r="AB6055" s="310"/>
    </row>
    <row r="6056" spans="13:28" s="308" customFormat="1" x14ac:dyDescent="0.2">
      <c r="M6056" s="309"/>
      <c r="AB6056" s="310"/>
    </row>
    <row r="6057" spans="13:28" s="308" customFormat="1" x14ac:dyDescent="0.2">
      <c r="M6057" s="309"/>
      <c r="AB6057" s="310"/>
    </row>
    <row r="6058" spans="13:28" s="308" customFormat="1" x14ac:dyDescent="0.2">
      <c r="M6058" s="309"/>
      <c r="AB6058" s="310"/>
    </row>
    <row r="6059" spans="13:28" s="308" customFormat="1" x14ac:dyDescent="0.2">
      <c r="M6059" s="309"/>
      <c r="AB6059" s="310"/>
    </row>
    <row r="6060" spans="13:28" s="308" customFormat="1" x14ac:dyDescent="0.2">
      <c r="M6060" s="309"/>
      <c r="AB6060" s="310"/>
    </row>
    <row r="6061" spans="13:28" s="308" customFormat="1" x14ac:dyDescent="0.2">
      <c r="M6061" s="309"/>
      <c r="AB6061" s="310"/>
    </row>
    <row r="6062" spans="13:28" s="308" customFormat="1" x14ac:dyDescent="0.2">
      <c r="M6062" s="309"/>
      <c r="AB6062" s="310"/>
    </row>
    <row r="6063" spans="13:28" s="308" customFormat="1" x14ac:dyDescent="0.2">
      <c r="M6063" s="309"/>
      <c r="AB6063" s="310"/>
    </row>
    <row r="6064" spans="13:28" s="308" customFormat="1" x14ac:dyDescent="0.2">
      <c r="M6064" s="309"/>
      <c r="AB6064" s="310"/>
    </row>
    <row r="6065" spans="13:28" s="308" customFormat="1" x14ac:dyDescent="0.2">
      <c r="M6065" s="309"/>
      <c r="AB6065" s="310"/>
    </row>
    <row r="6066" spans="13:28" s="308" customFormat="1" x14ac:dyDescent="0.2">
      <c r="M6066" s="309"/>
      <c r="AB6066" s="310"/>
    </row>
    <row r="6067" spans="13:28" s="308" customFormat="1" x14ac:dyDescent="0.2">
      <c r="M6067" s="309"/>
      <c r="AB6067" s="310"/>
    </row>
    <row r="6068" spans="13:28" s="308" customFormat="1" x14ac:dyDescent="0.2">
      <c r="M6068" s="309"/>
      <c r="AB6068" s="310"/>
    </row>
    <row r="6069" spans="13:28" s="308" customFormat="1" x14ac:dyDescent="0.2">
      <c r="M6069" s="309"/>
      <c r="AB6069" s="310"/>
    </row>
    <row r="6070" spans="13:28" s="308" customFormat="1" x14ac:dyDescent="0.2">
      <c r="M6070" s="309"/>
      <c r="AB6070" s="310"/>
    </row>
    <row r="6071" spans="13:28" s="308" customFormat="1" x14ac:dyDescent="0.2">
      <c r="M6071" s="309"/>
      <c r="AB6071" s="310"/>
    </row>
    <row r="6072" spans="13:28" s="308" customFormat="1" x14ac:dyDescent="0.2">
      <c r="M6072" s="309"/>
      <c r="AB6072" s="310"/>
    </row>
    <row r="6073" spans="13:28" s="308" customFormat="1" x14ac:dyDescent="0.2">
      <c r="M6073" s="309"/>
      <c r="AB6073" s="310"/>
    </row>
    <row r="6074" spans="13:28" s="308" customFormat="1" x14ac:dyDescent="0.2">
      <c r="M6074" s="309"/>
      <c r="AB6074" s="310"/>
    </row>
    <row r="6075" spans="13:28" s="308" customFormat="1" x14ac:dyDescent="0.2">
      <c r="M6075" s="309"/>
      <c r="AB6075" s="310"/>
    </row>
    <row r="6076" spans="13:28" s="308" customFormat="1" x14ac:dyDescent="0.2">
      <c r="M6076" s="309"/>
      <c r="AB6076" s="310"/>
    </row>
    <row r="6077" spans="13:28" s="308" customFormat="1" x14ac:dyDescent="0.2">
      <c r="M6077" s="309"/>
      <c r="AB6077" s="310"/>
    </row>
    <row r="6078" spans="13:28" s="308" customFormat="1" x14ac:dyDescent="0.2">
      <c r="M6078" s="309"/>
      <c r="AB6078" s="310"/>
    </row>
    <row r="6079" spans="13:28" s="308" customFormat="1" x14ac:dyDescent="0.2">
      <c r="M6079" s="309"/>
      <c r="AB6079" s="310"/>
    </row>
    <row r="6080" spans="13:28" s="308" customFormat="1" x14ac:dyDescent="0.2">
      <c r="M6080" s="309"/>
      <c r="AB6080" s="310"/>
    </row>
    <row r="6081" spans="13:28" s="308" customFormat="1" x14ac:dyDescent="0.2">
      <c r="M6081" s="309"/>
      <c r="AB6081" s="310"/>
    </row>
    <row r="6082" spans="13:28" s="308" customFormat="1" x14ac:dyDescent="0.2">
      <c r="M6082" s="309"/>
      <c r="AB6082" s="310"/>
    </row>
    <row r="6083" spans="13:28" s="308" customFormat="1" x14ac:dyDescent="0.2">
      <c r="M6083" s="309"/>
      <c r="AB6083" s="310"/>
    </row>
    <row r="6084" spans="13:28" s="308" customFormat="1" x14ac:dyDescent="0.2">
      <c r="M6084" s="309"/>
      <c r="AB6084" s="310"/>
    </row>
    <row r="6085" spans="13:28" s="308" customFormat="1" x14ac:dyDescent="0.2">
      <c r="M6085" s="309"/>
      <c r="AB6085" s="310"/>
    </row>
    <row r="6086" spans="13:28" s="308" customFormat="1" x14ac:dyDescent="0.2">
      <c r="M6086" s="309"/>
      <c r="AB6086" s="310"/>
    </row>
    <row r="6087" spans="13:28" s="308" customFormat="1" x14ac:dyDescent="0.2">
      <c r="M6087" s="309"/>
      <c r="AB6087" s="310"/>
    </row>
    <row r="6088" spans="13:28" s="308" customFormat="1" x14ac:dyDescent="0.2">
      <c r="M6088" s="309"/>
      <c r="AB6088" s="310"/>
    </row>
    <row r="6089" spans="13:28" s="308" customFormat="1" x14ac:dyDescent="0.2">
      <c r="M6089" s="309"/>
      <c r="AB6089" s="310"/>
    </row>
    <row r="6090" spans="13:28" s="308" customFormat="1" x14ac:dyDescent="0.2">
      <c r="M6090" s="309"/>
      <c r="AB6090" s="310"/>
    </row>
    <row r="6091" spans="13:28" s="308" customFormat="1" x14ac:dyDescent="0.2">
      <c r="M6091" s="309"/>
      <c r="AB6091" s="310"/>
    </row>
    <row r="6092" spans="13:28" s="308" customFormat="1" x14ac:dyDescent="0.2">
      <c r="M6092" s="309"/>
      <c r="AB6092" s="310"/>
    </row>
    <row r="6093" spans="13:28" s="308" customFormat="1" x14ac:dyDescent="0.2">
      <c r="M6093" s="309"/>
      <c r="AB6093" s="310"/>
    </row>
    <row r="6094" spans="13:28" s="308" customFormat="1" x14ac:dyDescent="0.2">
      <c r="M6094" s="309"/>
      <c r="AB6094" s="310"/>
    </row>
    <row r="6095" spans="13:28" s="308" customFormat="1" x14ac:dyDescent="0.2">
      <c r="M6095" s="309"/>
      <c r="AB6095" s="310"/>
    </row>
    <row r="6096" spans="13:28" s="308" customFormat="1" x14ac:dyDescent="0.2">
      <c r="M6096" s="309"/>
      <c r="AB6096" s="310"/>
    </row>
    <row r="6097" spans="13:28" s="308" customFormat="1" x14ac:dyDescent="0.2">
      <c r="M6097" s="309"/>
      <c r="AB6097" s="310"/>
    </row>
    <row r="6098" spans="13:28" s="308" customFormat="1" x14ac:dyDescent="0.2">
      <c r="M6098" s="309"/>
      <c r="AB6098" s="310"/>
    </row>
    <row r="6099" spans="13:28" s="308" customFormat="1" x14ac:dyDescent="0.2">
      <c r="M6099" s="309"/>
      <c r="AB6099" s="310"/>
    </row>
    <row r="6100" spans="13:28" s="308" customFormat="1" x14ac:dyDescent="0.2">
      <c r="M6100" s="309"/>
      <c r="AB6100" s="310"/>
    </row>
    <row r="6101" spans="13:28" s="308" customFormat="1" x14ac:dyDescent="0.2">
      <c r="M6101" s="309"/>
      <c r="AB6101" s="310"/>
    </row>
    <row r="6102" spans="13:28" s="308" customFormat="1" x14ac:dyDescent="0.2">
      <c r="M6102" s="309"/>
      <c r="AB6102" s="310"/>
    </row>
    <row r="6103" spans="13:28" s="308" customFormat="1" x14ac:dyDescent="0.2">
      <c r="M6103" s="309"/>
      <c r="AB6103" s="310"/>
    </row>
    <row r="6104" spans="13:28" s="308" customFormat="1" x14ac:dyDescent="0.2">
      <c r="M6104" s="309"/>
      <c r="AB6104" s="310"/>
    </row>
    <row r="6105" spans="13:28" s="308" customFormat="1" x14ac:dyDescent="0.2">
      <c r="M6105" s="309"/>
      <c r="AB6105" s="310"/>
    </row>
    <row r="6106" spans="13:28" s="308" customFormat="1" x14ac:dyDescent="0.2">
      <c r="M6106" s="309"/>
      <c r="AB6106" s="310"/>
    </row>
    <row r="6107" spans="13:28" s="308" customFormat="1" x14ac:dyDescent="0.2">
      <c r="M6107" s="309"/>
      <c r="AB6107" s="310"/>
    </row>
    <row r="6108" spans="13:28" s="308" customFormat="1" x14ac:dyDescent="0.2">
      <c r="M6108" s="309"/>
      <c r="AB6108" s="310"/>
    </row>
    <row r="6109" spans="13:28" s="308" customFormat="1" x14ac:dyDescent="0.2">
      <c r="M6109" s="309"/>
      <c r="AB6109" s="310"/>
    </row>
    <row r="6110" spans="13:28" s="308" customFormat="1" x14ac:dyDescent="0.2">
      <c r="M6110" s="309"/>
      <c r="AB6110" s="310"/>
    </row>
    <row r="6111" spans="13:28" s="308" customFormat="1" x14ac:dyDescent="0.2">
      <c r="M6111" s="309"/>
      <c r="AB6111" s="310"/>
    </row>
    <row r="6112" spans="13:28" s="308" customFormat="1" x14ac:dyDescent="0.2">
      <c r="M6112" s="309"/>
      <c r="AB6112" s="310"/>
    </row>
    <row r="6113" spans="13:28" s="308" customFormat="1" x14ac:dyDescent="0.2">
      <c r="M6113" s="309"/>
      <c r="AB6113" s="310"/>
    </row>
    <row r="6114" spans="13:28" s="308" customFormat="1" x14ac:dyDescent="0.2">
      <c r="M6114" s="309"/>
      <c r="AB6114" s="310"/>
    </row>
    <row r="6115" spans="13:28" s="308" customFormat="1" x14ac:dyDescent="0.2">
      <c r="M6115" s="309"/>
      <c r="AB6115" s="310"/>
    </row>
    <row r="6116" spans="13:28" s="308" customFormat="1" x14ac:dyDescent="0.2">
      <c r="M6116" s="309"/>
      <c r="AB6116" s="310"/>
    </row>
    <row r="6117" spans="13:28" s="308" customFormat="1" x14ac:dyDescent="0.2">
      <c r="M6117" s="309"/>
      <c r="AB6117" s="310"/>
    </row>
    <row r="6118" spans="13:28" s="308" customFormat="1" x14ac:dyDescent="0.2">
      <c r="M6118" s="309"/>
      <c r="AB6118" s="310"/>
    </row>
    <row r="6119" spans="13:28" s="308" customFormat="1" x14ac:dyDescent="0.2">
      <c r="M6119" s="309"/>
      <c r="AB6119" s="310"/>
    </row>
    <row r="6120" spans="13:28" s="308" customFormat="1" x14ac:dyDescent="0.2">
      <c r="M6120" s="309"/>
      <c r="AB6120" s="310"/>
    </row>
    <row r="6121" spans="13:28" s="308" customFormat="1" x14ac:dyDescent="0.2">
      <c r="M6121" s="309"/>
      <c r="AB6121" s="310"/>
    </row>
    <row r="6122" spans="13:28" s="308" customFormat="1" x14ac:dyDescent="0.2">
      <c r="M6122" s="309"/>
      <c r="AB6122" s="310"/>
    </row>
    <row r="6123" spans="13:28" s="308" customFormat="1" x14ac:dyDescent="0.2">
      <c r="M6123" s="309"/>
      <c r="AB6123" s="310"/>
    </row>
    <row r="6124" spans="13:28" s="308" customFormat="1" x14ac:dyDescent="0.2">
      <c r="M6124" s="309"/>
      <c r="AB6124" s="310"/>
    </row>
    <row r="6125" spans="13:28" s="308" customFormat="1" x14ac:dyDescent="0.2">
      <c r="M6125" s="309"/>
      <c r="AB6125" s="310"/>
    </row>
    <row r="6126" spans="13:28" s="308" customFormat="1" x14ac:dyDescent="0.2">
      <c r="M6126" s="309"/>
      <c r="AB6126" s="310"/>
    </row>
    <row r="6127" spans="13:28" s="308" customFormat="1" x14ac:dyDescent="0.2">
      <c r="M6127" s="309"/>
      <c r="AB6127" s="310"/>
    </row>
    <row r="6128" spans="13:28" s="308" customFormat="1" x14ac:dyDescent="0.2">
      <c r="M6128" s="309"/>
      <c r="AB6128" s="310"/>
    </row>
    <row r="6129" spans="13:28" s="308" customFormat="1" x14ac:dyDescent="0.2">
      <c r="M6129" s="309"/>
      <c r="AB6129" s="310"/>
    </row>
    <row r="6130" spans="13:28" s="308" customFormat="1" x14ac:dyDescent="0.2">
      <c r="M6130" s="309"/>
      <c r="AB6130" s="310"/>
    </row>
    <row r="6131" spans="13:28" s="308" customFormat="1" x14ac:dyDescent="0.2">
      <c r="M6131" s="309"/>
      <c r="AB6131" s="310"/>
    </row>
    <row r="6132" spans="13:28" s="308" customFormat="1" x14ac:dyDescent="0.2">
      <c r="M6132" s="309"/>
      <c r="AB6132" s="310"/>
    </row>
    <row r="6133" spans="13:28" s="308" customFormat="1" x14ac:dyDescent="0.2">
      <c r="M6133" s="309"/>
      <c r="AB6133" s="310"/>
    </row>
    <row r="6134" spans="13:28" s="308" customFormat="1" x14ac:dyDescent="0.2">
      <c r="M6134" s="309"/>
      <c r="AB6134" s="310"/>
    </row>
    <row r="6135" spans="13:28" s="308" customFormat="1" x14ac:dyDescent="0.2">
      <c r="M6135" s="309"/>
      <c r="AB6135" s="310"/>
    </row>
    <row r="6136" spans="13:28" s="308" customFormat="1" x14ac:dyDescent="0.2">
      <c r="M6136" s="309"/>
      <c r="AB6136" s="310"/>
    </row>
    <row r="6137" spans="13:28" s="308" customFormat="1" x14ac:dyDescent="0.2">
      <c r="M6137" s="309"/>
      <c r="AB6137" s="310"/>
    </row>
    <row r="6138" spans="13:28" s="308" customFormat="1" x14ac:dyDescent="0.2">
      <c r="M6138" s="309"/>
      <c r="AB6138" s="310"/>
    </row>
    <row r="6139" spans="13:28" s="308" customFormat="1" x14ac:dyDescent="0.2">
      <c r="M6139" s="309"/>
      <c r="AB6139" s="310"/>
    </row>
    <row r="6140" spans="13:28" s="308" customFormat="1" x14ac:dyDescent="0.2">
      <c r="M6140" s="309"/>
      <c r="AB6140" s="310"/>
    </row>
    <row r="6141" spans="13:28" s="308" customFormat="1" x14ac:dyDescent="0.2">
      <c r="M6141" s="309"/>
      <c r="AB6141" s="310"/>
    </row>
    <row r="6142" spans="13:28" s="308" customFormat="1" x14ac:dyDescent="0.2">
      <c r="M6142" s="309"/>
      <c r="AB6142" s="310"/>
    </row>
    <row r="6143" spans="13:28" s="308" customFormat="1" x14ac:dyDescent="0.2">
      <c r="M6143" s="309"/>
      <c r="AB6143" s="310"/>
    </row>
    <row r="6144" spans="13:28" s="308" customFormat="1" x14ac:dyDescent="0.2">
      <c r="M6144" s="309"/>
      <c r="AB6144" s="310"/>
    </row>
    <row r="6145" spans="13:28" s="308" customFormat="1" x14ac:dyDescent="0.2">
      <c r="M6145" s="309"/>
      <c r="AB6145" s="310"/>
    </row>
    <row r="6146" spans="13:28" s="308" customFormat="1" x14ac:dyDescent="0.2">
      <c r="M6146" s="309"/>
      <c r="AB6146" s="310"/>
    </row>
    <row r="6147" spans="13:28" s="308" customFormat="1" x14ac:dyDescent="0.2">
      <c r="M6147" s="309"/>
      <c r="AB6147" s="310"/>
    </row>
    <row r="6148" spans="13:28" s="308" customFormat="1" x14ac:dyDescent="0.2">
      <c r="M6148" s="309"/>
      <c r="AB6148" s="310"/>
    </row>
    <row r="6149" spans="13:28" s="308" customFormat="1" x14ac:dyDescent="0.2">
      <c r="M6149" s="309"/>
      <c r="AB6149" s="310"/>
    </row>
    <row r="6150" spans="13:28" s="308" customFormat="1" x14ac:dyDescent="0.2">
      <c r="M6150" s="309"/>
      <c r="AB6150" s="310"/>
    </row>
    <row r="6151" spans="13:28" s="308" customFormat="1" x14ac:dyDescent="0.2">
      <c r="M6151" s="309"/>
      <c r="AB6151" s="310"/>
    </row>
    <row r="6152" spans="13:28" s="308" customFormat="1" x14ac:dyDescent="0.2">
      <c r="M6152" s="309"/>
      <c r="AB6152" s="310"/>
    </row>
    <row r="6153" spans="13:28" s="308" customFormat="1" x14ac:dyDescent="0.2">
      <c r="M6153" s="309"/>
      <c r="AB6153" s="310"/>
    </row>
    <row r="6154" spans="13:28" s="308" customFormat="1" x14ac:dyDescent="0.2">
      <c r="M6154" s="309"/>
      <c r="AB6154" s="310"/>
    </row>
    <row r="6155" spans="13:28" s="308" customFormat="1" x14ac:dyDescent="0.2">
      <c r="M6155" s="309"/>
      <c r="AB6155" s="310"/>
    </row>
    <row r="6156" spans="13:28" s="308" customFormat="1" x14ac:dyDescent="0.2">
      <c r="M6156" s="309"/>
      <c r="AB6156" s="310"/>
    </row>
    <row r="6157" spans="13:28" s="308" customFormat="1" x14ac:dyDescent="0.2">
      <c r="M6157" s="309"/>
      <c r="AB6157" s="310"/>
    </row>
    <row r="6158" spans="13:28" s="308" customFormat="1" x14ac:dyDescent="0.2">
      <c r="M6158" s="309"/>
      <c r="AB6158" s="310"/>
    </row>
    <row r="6159" spans="13:28" s="308" customFormat="1" x14ac:dyDescent="0.2">
      <c r="M6159" s="309"/>
      <c r="AB6159" s="310"/>
    </row>
    <row r="6160" spans="13:28" s="308" customFormat="1" x14ac:dyDescent="0.2">
      <c r="M6160" s="309"/>
      <c r="AB6160" s="310"/>
    </row>
    <row r="6161" spans="13:28" s="308" customFormat="1" x14ac:dyDescent="0.2">
      <c r="M6161" s="309"/>
      <c r="AB6161" s="310"/>
    </row>
    <row r="6162" spans="13:28" s="308" customFormat="1" x14ac:dyDescent="0.2">
      <c r="M6162" s="309"/>
      <c r="AB6162" s="310"/>
    </row>
    <row r="6163" spans="13:28" s="308" customFormat="1" x14ac:dyDescent="0.2">
      <c r="M6163" s="309"/>
      <c r="AB6163" s="310"/>
    </row>
    <row r="6164" spans="13:28" s="308" customFormat="1" x14ac:dyDescent="0.2">
      <c r="M6164" s="309"/>
      <c r="AB6164" s="310"/>
    </row>
    <row r="6165" spans="13:28" s="308" customFormat="1" x14ac:dyDescent="0.2">
      <c r="M6165" s="309"/>
      <c r="AB6165" s="310"/>
    </row>
    <row r="6166" spans="13:28" s="308" customFormat="1" x14ac:dyDescent="0.2">
      <c r="M6166" s="309"/>
      <c r="AB6166" s="310"/>
    </row>
    <row r="6167" spans="13:28" s="308" customFormat="1" x14ac:dyDescent="0.2">
      <c r="M6167" s="309"/>
      <c r="AB6167" s="310"/>
    </row>
    <row r="6168" spans="13:28" s="308" customFormat="1" x14ac:dyDescent="0.2">
      <c r="M6168" s="309"/>
      <c r="AB6168" s="310"/>
    </row>
    <row r="6169" spans="13:28" s="308" customFormat="1" x14ac:dyDescent="0.2">
      <c r="M6169" s="309"/>
      <c r="AB6169" s="310"/>
    </row>
    <row r="6170" spans="13:28" s="308" customFormat="1" x14ac:dyDescent="0.2">
      <c r="M6170" s="309"/>
      <c r="AB6170" s="310"/>
    </row>
    <row r="6171" spans="13:28" s="308" customFormat="1" x14ac:dyDescent="0.2">
      <c r="M6171" s="309"/>
      <c r="AB6171" s="310"/>
    </row>
    <row r="6172" spans="13:28" s="308" customFormat="1" x14ac:dyDescent="0.2">
      <c r="M6172" s="309"/>
      <c r="AB6172" s="310"/>
    </row>
    <row r="6173" spans="13:28" s="308" customFormat="1" x14ac:dyDescent="0.2">
      <c r="M6173" s="309"/>
      <c r="AB6173" s="310"/>
    </row>
    <row r="6174" spans="13:28" s="308" customFormat="1" x14ac:dyDescent="0.2">
      <c r="M6174" s="309"/>
      <c r="AB6174" s="310"/>
    </row>
    <row r="6175" spans="13:28" s="308" customFormat="1" x14ac:dyDescent="0.2">
      <c r="M6175" s="309"/>
      <c r="AB6175" s="310"/>
    </row>
    <row r="6176" spans="13:28" s="308" customFormat="1" x14ac:dyDescent="0.2">
      <c r="M6176" s="309"/>
      <c r="AB6176" s="310"/>
    </row>
    <row r="6177" spans="13:28" s="308" customFormat="1" x14ac:dyDescent="0.2">
      <c r="M6177" s="309"/>
      <c r="AB6177" s="310"/>
    </row>
    <row r="6178" spans="13:28" s="308" customFormat="1" x14ac:dyDescent="0.2">
      <c r="M6178" s="309"/>
      <c r="AB6178" s="310"/>
    </row>
    <row r="6179" spans="13:28" s="308" customFormat="1" x14ac:dyDescent="0.2">
      <c r="M6179" s="309"/>
      <c r="AB6179" s="310"/>
    </row>
    <row r="6180" spans="13:28" s="308" customFormat="1" x14ac:dyDescent="0.2">
      <c r="M6180" s="309"/>
      <c r="AB6180" s="310"/>
    </row>
    <row r="6181" spans="13:28" s="308" customFormat="1" x14ac:dyDescent="0.2">
      <c r="M6181" s="309"/>
      <c r="AB6181" s="310"/>
    </row>
    <row r="6182" spans="13:28" s="308" customFormat="1" x14ac:dyDescent="0.2">
      <c r="M6182" s="309"/>
      <c r="AB6182" s="310"/>
    </row>
    <row r="6183" spans="13:28" s="308" customFormat="1" x14ac:dyDescent="0.2">
      <c r="M6183" s="309"/>
      <c r="AB6183" s="310"/>
    </row>
    <row r="6184" spans="13:28" s="308" customFormat="1" x14ac:dyDescent="0.2">
      <c r="M6184" s="309"/>
      <c r="AB6184" s="310"/>
    </row>
    <row r="6185" spans="13:28" s="308" customFormat="1" x14ac:dyDescent="0.2">
      <c r="M6185" s="309"/>
      <c r="AB6185" s="310"/>
    </row>
    <row r="6186" spans="13:28" s="308" customFormat="1" x14ac:dyDescent="0.2">
      <c r="M6186" s="309"/>
      <c r="AB6186" s="310"/>
    </row>
    <row r="6187" spans="13:28" s="308" customFormat="1" x14ac:dyDescent="0.2">
      <c r="M6187" s="309"/>
      <c r="AB6187" s="310"/>
    </row>
    <row r="6188" spans="13:28" s="308" customFormat="1" x14ac:dyDescent="0.2">
      <c r="M6188" s="309"/>
      <c r="AB6188" s="310"/>
    </row>
    <row r="6189" spans="13:28" s="308" customFormat="1" x14ac:dyDescent="0.2">
      <c r="M6189" s="309"/>
      <c r="AB6189" s="310"/>
    </row>
    <row r="6190" spans="13:28" s="308" customFormat="1" x14ac:dyDescent="0.2">
      <c r="M6190" s="309"/>
      <c r="AB6190" s="310"/>
    </row>
    <row r="6191" spans="13:28" s="308" customFormat="1" x14ac:dyDescent="0.2">
      <c r="M6191" s="309"/>
      <c r="AB6191" s="310"/>
    </row>
    <row r="6192" spans="13:28" s="308" customFormat="1" x14ac:dyDescent="0.2">
      <c r="M6192" s="309"/>
      <c r="AB6192" s="310"/>
    </row>
    <row r="6193" spans="13:28" s="308" customFormat="1" x14ac:dyDescent="0.2">
      <c r="M6193" s="309"/>
      <c r="AB6193" s="310"/>
    </row>
    <row r="6194" spans="13:28" s="308" customFormat="1" x14ac:dyDescent="0.2">
      <c r="M6194" s="309"/>
      <c r="AB6194" s="310"/>
    </row>
    <row r="6195" spans="13:28" s="308" customFormat="1" x14ac:dyDescent="0.2">
      <c r="M6195" s="309"/>
      <c r="AB6195" s="310"/>
    </row>
    <row r="6196" spans="13:28" s="308" customFormat="1" x14ac:dyDescent="0.2">
      <c r="M6196" s="309"/>
      <c r="AB6196" s="310"/>
    </row>
    <row r="6197" spans="13:28" s="308" customFormat="1" x14ac:dyDescent="0.2">
      <c r="M6197" s="309"/>
      <c r="AB6197" s="310"/>
    </row>
    <row r="6198" spans="13:28" s="308" customFormat="1" x14ac:dyDescent="0.2">
      <c r="M6198" s="309"/>
      <c r="AB6198" s="310"/>
    </row>
    <row r="6199" spans="13:28" s="308" customFormat="1" x14ac:dyDescent="0.2">
      <c r="M6199" s="309"/>
      <c r="AB6199" s="310"/>
    </row>
    <row r="6200" spans="13:28" s="308" customFormat="1" x14ac:dyDescent="0.2">
      <c r="M6200" s="309"/>
      <c r="AB6200" s="310"/>
    </row>
    <row r="6201" spans="13:28" s="308" customFormat="1" x14ac:dyDescent="0.2">
      <c r="M6201" s="309"/>
      <c r="AB6201" s="310"/>
    </row>
    <row r="6202" spans="13:28" s="308" customFormat="1" x14ac:dyDescent="0.2">
      <c r="M6202" s="309"/>
      <c r="AB6202" s="310"/>
    </row>
    <row r="6203" spans="13:28" s="308" customFormat="1" x14ac:dyDescent="0.2">
      <c r="M6203" s="309"/>
      <c r="AB6203" s="310"/>
    </row>
    <row r="6204" spans="13:28" s="308" customFormat="1" x14ac:dyDescent="0.2">
      <c r="M6204" s="309"/>
      <c r="AB6204" s="310"/>
    </row>
    <row r="6205" spans="13:28" s="308" customFormat="1" x14ac:dyDescent="0.2">
      <c r="M6205" s="309"/>
      <c r="AB6205" s="310"/>
    </row>
    <row r="6206" spans="13:28" s="308" customFormat="1" x14ac:dyDescent="0.2">
      <c r="M6206" s="309"/>
      <c r="AB6206" s="310"/>
    </row>
    <row r="6207" spans="13:28" s="308" customFormat="1" x14ac:dyDescent="0.2">
      <c r="M6207" s="309"/>
      <c r="AB6207" s="310"/>
    </row>
    <row r="6208" spans="13:28" s="308" customFormat="1" x14ac:dyDescent="0.2">
      <c r="M6208" s="309"/>
      <c r="AB6208" s="310"/>
    </row>
    <row r="6209" spans="13:28" s="308" customFormat="1" x14ac:dyDescent="0.2">
      <c r="M6209" s="309"/>
      <c r="AB6209" s="310"/>
    </row>
    <row r="6210" spans="13:28" s="308" customFormat="1" x14ac:dyDescent="0.2">
      <c r="M6210" s="309"/>
      <c r="AB6210" s="310"/>
    </row>
    <row r="6211" spans="13:28" s="308" customFormat="1" x14ac:dyDescent="0.2">
      <c r="M6211" s="309"/>
      <c r="AB6211" s="310"/>
    </row>
    <row r="6212" spans="13:28" s="308" customFormat="1" x14ac:dyDescent="0.2">
      <c r="M6212" s="309"/>
      <c r="AB6212" s="310"/>
    </row>
    <row r="6213" spans="13:28" s="308" customFormat="1" x14ac:dyDescent="0.2">
      <c r="M6213" s="309"/>
      <c r="AB6213" s="310"/>
    </row>
    <row r="6214" spans="13:28" s="308" customFormat="1" x14ac:dyDescent="0.2">
      <c r="M6214" s="309"/>
      <c r="AB6214" s="310"/>
    </row>
    <row r="6215" spans="13:28" s="308" customFormat="1" x14ac:dyDescent="0.2">
      <c r="M6215" s="309"/>
      <c r="AB6215" s="310"/>
    </row>
    <row r="6216" spans="13:28" s="308" customFormat="1" x14ac:dyDescent="0.2">
      <c r="M6216" s="309"/>
      <c r="AB6216" s="310"/>
    </row>
    <row r="6217" spans="13:28" s="308" customFormat="1" x14ac:dyDescent="0.2">
      <c r="M6217" s="309"/>
      <c r="AB6217" s="310"/>
    </row>
    <row r="6218" spans="13:28" s="308" customFormat="1" x14ac:dyDescent="0.2">
      <c r="M6218" s="309"/>
      <c r="AB6218" s="310"/>
    </row>
    <row r="6219" spans="13:28" s="308" customFormat="1" x14ac:dyDescent="0.2">
      <c r="M6219" s="309"/>
      <c r="AB6219" s="310"/>
    </row>
    <row r="6220" spans="13:28" s="308" customFormat="1" x14ac:dyDescent="0.2">
      <c r="M6220" s="309"/>
      <c r="AB6220" s="310"/>
    </row>
    <row r="6221" spans="13:28" s="308" customFormat="1" x14ac:dyDescent="0.2">
      <c r="M6221" s="309"/>
      <c r="AB6221" s="310"/>
    </row>
    <row r="6222" spans="13:28" s="308" customFormat="1" x14ac:dyDescent="0.2">
      <c r="M6222" s="309"/>
      <c r="AB6222" s="310"/>
    </row>
    <row r="6223" spans="13:28" s="308" customFormat="1" x14ac:dyDescent="0.2">
      <c r="M6223" s="309"/>
      <c r="AB6223" s="310"/>
    </row>
    <row r="6224" spans="13:28" s="308" customFormat="1" x14ac:dyDescent="0.2">
      <c r="M6224" s="309"/>
      <c r="AB6224" s="310"/>
    </row>
    <row r="6225" spans="13:28" s="308" customFormat="1" x14ac:dyDescent="0.2">
      <c r="M6225" s="309"/>
      <c r="AB6225" s="310"/>
    </row>
    <row r="6226" spans="13:28" s="308" customFormat="1" x14ac:dyDescent="0.2">
      <c r="M6226" s="309"/>
      <c r="AB6226" s="310"/>
    </row>
    <row r="6227" spans="13:28" s="308" customFormat="1" x14ac:dyDescent="0.2">
      <c r="M6227" s="309"/>
      <c r="AB6227" s="310"/>
    </row>
    <row r="6228" spans="13:28" s="308" customFormat="1" x14ac:dyDescent="0.2">
      <c r="M6228" s="309"/>
      <c r="AB6228" s="310"/>
    </row>
    <row r="6229" spans="13:28" s="308" customFormat="1" x14ac:dyDescent="0.2">
      <c r="M6229" s="309"/>
      <c r="AB6229" s="310"/>
    </row>
    <row r="6230" spans="13:28" s="308" customFormat="1" x14ac:dyDescent="0.2">
      <c r="M6230" s="309"/>
      <c r="AB6230" s="310"/>
    </row>
    <row r="6231" spans="13:28" s="308" customFormat="1" x14ac:dyDescent="0.2">
      <c r="M6231" s="309"/>
      <c r="AB6231" s="310"/>
    </row>
    <row r="6232" spans="13:28" s="308" customFormat="1" x14ac:dyDescent="0.2">
      <c r="M6232" s="309"/>
      <c r="AB6232" s="310"/>
    </row>
    <row r="6233" spans="13:28" s="308" customFormat="1" x14ac:dyDescent="0.2">
      <c r="M6233" s="309"/>
      <c r="AB6233" s="310"/>
    </row>
    <row r="6234" spans="13:28" s="308" customFormat="1" x14ac:dyDescent="0.2">
      <c r="M6234" s="309"/>
      <c r="AB6234" s="310"/>
    </row>
    <row r="6235" spans="13:28" s="308" customFormat="1" x14ac:dyDescent="0.2">
      <c r="M6235" s="309"/>
      <c r="AB6235" s="310"/>
    </row>
    <row r="6236" spans="13:28" s="308" customFormat="1" x14ac:dyDescent="0.2">
      <c r="M6236" s="309"/>
      <c r="AB6236" s="310"/>
    </row>
    <row r="6237" spans="13:28" s="308" customFormat="1" x14ac:dyDescent="0.2">
      <c r="M6237" s="309"/>
      <c r="AB6237" s="310"/>
    </row>
    <row r="6238" spans="13:28" s="308" customFormat="1" x14ac:dyDescent="0.2">
      <c r="M6238" s="309"/>
      <c r="AB6238" s="310"/>
    </row>
    <row r="6239" spans="13:28" s="308" customFormat="1" x14ac:dyDescent="0.2">
      <c r="M6239" s="309"/>
      <c r="AB6239" s="310"/>
    </row>
    <row r="6240" spans="13:28" s="308" customFormat="1" x14ac:dyDescent="0.2">
      <c r="M6240" s="309"/>
      <c r="AB6240" s="310"/>
    </row>
    <row r="6241" spans="13:28" s="308" customFormat="1" x14ac:dyDescent="0.2">
      <c r="M6241" s="309"/>
      <c r="AB6241" s="310"/>
    </row>
    <row r="6242" spans="13:28" s="308" customFormat="1" x14ac:dyDescent="0.2">
      <c r="M6242" s="309"/>
      <c r="AB6242" s="310"/>
    </row>
    <row r="6243" spans="13:28" s="308" customFormat="1" x14ac:dyDescent="0.2">
      <c r="M6243" s="309"/>
      <c r="AB6243" s="310"/>
    </row>
    <row r="6244" spans="13:28" s="308" customFormat="1" x14ac:dyDescent="0.2">
      <c r="M6244" s="309"/>
      <c r="AB6244" s="310"/>
    </row>
    <row r="6245" spans="13:28" s="308" customFormat="1" x14ac:dyDescent="0.2">
      <c r="M6245" s="309"/>
      <c r="AB6245" s="310"/>
    </row>
    <row r="6246" spans="13:28" s="308" customFormat="1" x14ac:dyDescent="0.2">
      <c r="M6246" s="309"/>
      <c r="AB6246" s="310"/>
    </row>
    <row r="6247" spans="13:28" s="308" customFormat="1" x14ac:dyDescent="0.2">
      <c r="M6247" s="309"/>
      <c r="AB6247" s="310"/>
    </row>
    <row r="6248" spans="13:28" s="308" customFormat="1" x14ac:dyDescent="0.2">
      <c r="M6248" s="309"/>
      <c r="AB6248" s="310"/>
    </row>
    <row r="6249" spans="13:28" s="308" customFormat="1" x14ac:dyDescent="0.2">
      <c r="M6249" s="309"/>
      <c r="AB6249" s="310"/>
    </row>
    <row r="6250" spans="13:28" s="308" customFormat="1" x14ac:dyDescent="0.2">
      <c r="M6250" s="309"/>
      <c r="AB6250" s="310"/>
    </row>
    <row r="6251" spans="13:28" s="308" customFormat="1" x14ac:dyDescent="0.2">
      <c r="M6251" s="309"/>
      <c r="AB6251" s="310"/>
    </row>
    <row r="6252" spans="13:28" s="308" customFormat="1" x14ac:dyDescent="0.2">
      <c r="M6252" s="309"/>
      <c r="AB6252" s="310"/>
    </row>
    <row r="6253" spans="13:28" s="308" customFormat="1" x14ac:dyDescent="0.2">
      <c r="M6253" s="309"/>
      <c r="AB6253" s="310"/>
    </row>
    <row r="6254" spans="13:28" s="308" customFormat="1" x14ac:dyDescent="0.2">
      <c r="M6254" s="309"/>
      <c r="AB6254" s="310"/>
    </row>
    <row r="6255" spans="13:28" s="308" customFormat="1" x14ac:dyDescent="0.2">
      <c r="M6255" s="309"/>
      <c r="AB6255" s="310"/>
    </row>
    <row r="6256" spans="13:28" s="308" customFormat="1" x14ac:dyDescent="0.2">
      <c r="M6256" s="309"/>
      <c r="AB6256" s="310"/>
    </row>
    <row r="6257" spans="13:28" s="308" customFormat="1" x14ac:dyDescent="0.2">
      <c r="M6257" s="309"/>
      <c r="AB6257" s="310"/>
    </row>
    <row r="6258" spans="13:28" s="308" customFormat="1" x14ac:dyDescent="0.2">
      <c r="M6258" s="309"/>
      <c r="AB6258" s="310"/>
    </row>
    <row r="6259" spans="13:28" s="308" customFormat="1" x14ac:dyDescent="0.2">
      <c r="M6259" s="309"/>
      <c r="AB6259" s="310"/>
    </row>
    <row r="6260" spans="13:28" s="308" customFormat="1" x14ac:dyDescent="0.2">
      <c r="M6260" s="309"/>
      <c r="AB6260" s="310"/>
    </row>
    <row r="6261" spans="13:28" s="308" customFormat="1" x14ac:dyDescent="0.2">
      <c r="M6261" s="309"/>
      <c r="AB6261" s="310"/>
    </row>
    <row r="6262" spans="13:28" s="308" customFormat="1" x14ac:dyDescent="0.2">
      <c r="M6262" s="309"/>
      <c r="AB6262" s="310"/>
    </row>
    <row r="6263" spans="13:28" s="308" customFormat="1" x14ac:dyDescent="0.2">
      <c r="M6263" s="309"/>
      <c r="AB6263" s="310"/>
    </row>
    <row r="6264" spans="13:28" s="308" customFormat="1" x14ac:dyDescent="0.2">
      <c r="M6264" s="309"/>
      <c r="AB6264" s="310"/>
    </row>
    <row r="6265" spans="13:28" s="308" customFormat="1" x14ac:dyDescent="0.2">
      <c r="M6265" s="309"/>
      <c r="AB6265" s="310"/>
    </row>
    <row r="6266" spans="13:28" s="308" customFormat="1" x14ac:dyDescent="0.2">
      <c r="M6266" s="309"/>
      <c r="AB6266" s="310"/>
    </row>
    <row r="6267" spans="13:28" s="308" customFormat="1" x14ac:dyDescent="0.2">
      <c r="M6267" s="309"/>
      <c r="AB6267" s="310"/>
    </row>
    <row r="6268" spans="13:28" s="308" customFormat="1" x14ac:dyDescent="0.2">
      <c r="M6268" s="309"/>
      <c r="AB6268" s="310"/>
    </row>
    <row r="6269" spans="13:28" s="308" customFormat="1" x14ac:dyDescent="0.2">
      <c r="M6269" s="309"/>
      <c r="AB6269" s="310"/>
    </row>
    <row r="6270" spans="13:28" s="308" customFormat="1" x14ac:dyDescent="0.2">
      <c r="M6270" s="309"/>
      <c r="AB6270" s="310"/>
    </row>
    <row r="6271" spans="13:28" s="308" customFormat="1" x14ac:dyDescent="0.2">
      <c r="M6271" s="309"/>
      <c r="AB6271" s="310"/>
    </row>
    <row r="6272" spans="13:28" s="308" customFormat="1" x14ac:dyDescent="0.2">
      <c r="M6272" s="309"/>
      <c r="AB6272" s="310"/>
    </row>
    <row r="6273" spans="13:28" s="308" customFormat="1" x14ac:dyDescent="0.2">
      <c r="M6273" s="309"/>
      <c r="AB6273" s="310"/>
    </row>
    <row r="6274" spans="13:28" s="308" customFormat="1" x14ac:dyDescent="0.2">
      <c r="M6274" s="309"/>
      <c r="AB6274" s="310"/>
    </row>
    <row r="6275" spans="13:28" s="308" customFormat="1" x14ac:dyDescent="0.2">
      <c r="M6275" s="309"/>
      <c r="AB6275" s="310"/>
    </row>
    <row r="6276" spans="13:28" s="308" customFormat="1" x14ac:dyDescent="0.2">
      <c r="M6276" s="309"/>
      <c r="AB6276" s="310"/>
    </row>
    <row r="6277" spans="13:28" s="308" customFormat="1" x14ac:dyDescent="0.2">
      <c r="M6277" s="309"/>
      <c r="AB6277" s="310"/>
    </row>
    <row r="6278" spans="13:28" s="308" customFormat="1" x14ac:dyDescent="0.2">
      <c r="M6278" s="309"/>
      <c r="AB6278" s="310"/>
    </row>
    <row r="6279" spans="13:28" s="308" customFormat="1" x14ac:dyDescent="0.2">
      <c r="M6279" s="309"/>
      <c r="AB6279" s="310"/>
    </row>
    <row r="6280" spans="13:28" s="308" customFormat="1" x14ac:dyDescent="0.2">
      <c r="M6280" s="309"/>
      <c r="AB6280" s="310"/>
    </row>
    <row r="6281" spans="13:28" s="308" customFormat="1" x14ac:dyDescent="0.2">
      <c r="M6281" s="309"/>
      <c r="AB6281" s="310"/>
    </row>
    <row r="6282" spans="13:28" s="308" customFormat="1" x14ac:dyDescent="0.2">
      <c r="M6282" s="309"/>
      <c r="AB6282" s="310"/>
    </row>
    <row r="6283" spans="13:28" s="308" customFormat="1" x14ac:dyDescent="0.2">
      <c r="M6283" s="309"/>
      <c r="AB6283" s="310"/>
    </row>
    <row r="6284" spans="13:28" s="308" customFormat="1" x14ac:dyDescent="0.2">
      <c r="M6284" s="309"/>
      <c r="AB6284" s="310"/>
    </row>
    <row r="6285" spans="13:28" s="308" customFormat="1" x14ac:dyDescent="0.2">
      <c r="M6285" s="309"/>
      <c r="AB6285" s="310"/>
    </row>
    <row r="6286" spans="13:28" s="308" customFormat="1" x14ac:dyDescent="0.2">
      <c r="M6286" s="309"/>
      <c r="AB6286" s="310"/>
    </row>
    <row r="6287" spans="13:28" s="308" customFormat="1" x14ac:dyDescent="0.2">
      <c r="M6287" s="309"/>
      <c r="AB6287" s="310"/>
    </row>
    <row r="6288" spans="13:28" s="308" customFormat="1" x14ac:dyDescent="0.2">
      <c r="M6288" s="309"/>
      <c r="AB6288" s="310"/>
    </row>
    <row r="6289" spans="13:28" s="308" customFormat="1" x14ac:dyDescent="0.2">
      <c r="M6289" s="309"/>
      <c r="AB6289" s="310"/>
    </row>
    <row r="6290" spans="13:28" s="308" customFormat="1" x14ac:dyDescent="0.2">
      <c r="M6290" s="309"/>
      <c r="AB6290" s="310"/>
    </row>
    <row r="6291" spans="13:28" s="308" customFormat="1" x14ac:dyDescent="0.2">
      <c r="M6291" s="309"/>
      <c r="AB6291" s="310"/>
    </row>
    <row r="6292" spans="13:28" s="308" customFormat="1" x14ac:dyDescent="0.2">
      <c r="M6292" s="309"/>
      <c r="AB6292" s="310"/>
    </row>
    <row r="6293" spans="13:28" s="308" customFormat="1" x14ac:dyDescent="0.2">
      <c r="M6293" s="309"/>
      <c r="AB6293" s="310"/>
    </row>
    <row r="6294" spans="13:28" s="308" customFormat="1" x14ac:dyDescent="0.2">
      <c r="M6294" s="309"/>
      <c r="AB6294" s="310"/>
    </row>
    <row r="6295" spans="13:28" s="308" customFormat="1" x14ac:dyDescent="0.2">
      <c r="M6295" s="309"/>
      <c r="AB6295" s="310"/>
    </row>
    <row r="6296" spans="13:28" s="308" customFormat="1" x14ac:dyDescent="0.2">
      <c r="M6296" s="309"/>
      <c r="AB6296" s="310"/>
    </row>
    <row r="6297" spans="13:28" s="308" customFormat="1" x14ac:dyDescent="0.2">
      <c r="M6297" s="309"/>
      <c r="AB6297" s="310"/>
    </row>
    <row r="6298" spans="13:28" s="308" customFormat="1" x14ac:dyDescent="0.2">
      <c r="M6298" s="309"/>
      <c r="AB6298" s="310"/>
    </row>
    <row r="6299" spans="13:28" s="308" customFormat="1" x14ac:dyDescent="0.2">
      <c r="M6299" s="309"/>
      <c r="AB6299" s="310"/>
    </row>
    <row r="6300" spans="13:28" s="308" customFormat="1" x14ac:dyDescent="0.2">
      <c r="M6300" s="309"/>
      <c r="AB6300" s="310"/>
    </row>
    <row r="6301" spans="13:28" s="308" customFormat="1" x14ac:dyDescent="0.2">
      <c r="M6301" s="309"/>
      <c r="AB6301" s="310"/>
    </row>
    <row r="6302" spans="13:28" s="308" customFormat="1" x14ac:dyDescent="0.2">
      <c r="M6302" s="309"/>
      <c r="AB6302" s="310"/>
    </row>
    <row r="6303" spans="13:28" s="308" customFormat="1" x14ac:dyDescent="0.2">
      <c r="M6303" s="309"/>
      <c r="AB6303" s="310"/>
    </row>
    <row r="6304" spans="13:28" s="308" customFormat="1" x14ac:dyDescent="0.2">
      <c r="M6304" s="309"/>
      <c r="AB6304" s="310"/>
    </row>
    <row r="6305" spans="13:28" s="308" customFormat="1" x14ac:dyDescent="0.2">
      <c r="M6305" s="309"/>
      <c r="AB6305" s="310"/>
    </row>
    <row r="6306" spans="13:28" s="308" customFormat="1" x14ac:dyDescent="0.2">
      <c r="M6306" s="309"/>
      <c r="AB6306" s="310"/>
    </row>
    <row r="6307" spans="13:28" s="308" customFormat="1" x14ac:dyDescent="0.2">
      <c r="M6307" s="309"/>
      <c r="AB6307" s="310"/>
    </row>
    <row r="6308" spans="13:28" s="308" customFormat="1" x14ac:dyDescent="0.2">
      <c r="M6308" s="309"/>
      <c r="AB6308" s="310"/>
    </row>
    <row r="6309" spans="13:28" s="308" customFormat="1" x14ac:dyDescent="0.2">
      <c r="M6309" s="309"/>
      <c r="AB6309" s="310"/>
    </row>
    <row r="6310" spans="13:28" s="308" customFormat="1" x14ac:dyDescent="0.2">
      <c r="M6310" s="309"/>
      <c r="AB6310" s="310"/>
    </row>
    <row r="6311" spans="13:28" s="308" customFormat="1" x14ac:dyDescent="0.2">
      <c r="M6311" s="309"/>
      <c r="AB6311" s="310"/>
    </row>
    <row r="6312" spans="13:28" s="308" customFormat="1" x14ac:dyDescent="0.2">
      <c r="M6312" s="309"/>
      <c r="AB6312" s="310"/>
    </row>
    <row r="6313" spans="13:28" s="308" customFormat="1" x14ac:dyDescent="0.2">
      <c r="M6313" s="309"/>
      <c r="AB6313" s="310"/>
    </row>
    <row r="6314" spans="13:28" s="308" customFormat="1" x14ac:dyDescent="0.2">
      <c r="M6314" s="309"/>
      <c r="AB6314" s="310"/>
    </row>
    <row r="6315" spans="13:28" s="308" customFormat="1" x14ac:dyDescent="0.2">
      <c r="M6315" s="309"/>
      <c r="AB6315" s="310"/>
    </row>
    <row r="6316" spans="13:28" s="308" customFormat="1" x14ac:dyDescent="0.2">
      <c r="M6316" s="309"/>
      <c r="AB6316" s="310"/>
    </row>
    <row r="6317" spans="13:28" s="308" customFormat="1" x14ac:dyDescent="0.2">
      <c r="M6317" s="309"/>
      <c r="AB6317" s="310"/>
    </row>
    <row r="6318" spans="13:28" s="308" customFormat="1" x14ac:dyDescent="0.2">
      <c r="M6318" s="309"/>
      <c r="AB6318" s="310"/>
    </row>
    <row r="6319" spans="13:28" s="308" customFormat="1" x14ac:dyDescent="0.2">
      <c r="M6319" s="309"/>
      <c r="AB6319" s="310"/>
    </row>
    <row r="6320" spans="13:28" s="308" customFormat="1" x14ac:dyDescent="0.2">
      <c r="M6320" s="309"/>
      <c r="AB6320" s="310"/>
    </row>
    <row r="6321" spans="13:28" s="308" customFormat="1" x14ac:dyDescent="0.2">
      <c r="M6321" s="309"/>
      <c r="AB6321" s="310"/>
    </row>
    <row r="6322" spans="13:28" s="308" customFormat="1" x14ac:dyDescent="0.2">
      <c r="M6322" s="309"/>
      <c r="AB6322" s="310"/>
    </row>
    <row r="6323" spans="13:28" s="308" customFormat="1" x14ac:dyDescent="0.2">
      <c r="M6323" s="309"/>
      <c r="AB6323" s="310"/>
    </row>
    <row r="6324" spans="13:28" s="308" customFormat="1" x14ac:dyDescent="0.2">
      <c r="M6324" s="309"/>
      <c r="AB6324" s="310"/>
    </row>
    <row r="6325" spans="13:28" s="308" customFormat="1" x14ac:dyDescent="0.2">
      <c r="M6325" s="309"/>
      <c r="AB6325" s="310"/>
    </row>
    <row r="6326" spans="13:28" s="308" customFormat="1" x14ac:dyDescent="0.2">
      <c r="M6326" s="309"/>
      <c r="AB6326" s="310"/>
    </row>
    <row r="6327" spans="13:28" s="308" customFormat="1" x14ac:dyDescent="0.2">
      <c r="M6327" s="309"/>
      <c r="AB6327" s="310"/>
    </row>
    <row r="6328" spans="13:28" s="308" customFormat="1" x14ac:dyDescent="0.2">
      <c r="M6328" s="309"/>
      <c r="AB6328" s="310"/>
    </row>
    <row r="6329" spans="13:28" s="308" customFormat="1" x14ac:dyDescent="0.2">
      <c r="M6329" s="309"/>
      <c r="AB6329" s="310"/>
    </row>
    <row r="6330" spans="13:28" s="308" customFormat="1" x14ac:dyDescent="0.2">
      <c r="M6330" s="309"/>
      <c r="AB6330" s="310"/>
    </row>
    <row r="6331" spans="13:28" s="308" customFormat="1" x14ac:dyDescent="0.2">
      <c r="M6331" s="309"/>
      <c r="AB6331" s="310"/>
    </row>
    <row r="6332" spans="13:28" s="308" customFormat="1" x14ac:dyDescent="0.2">
      <c r="M6332" s="309"/>
      <c r="AB6332" s="310"/>
    </row>
    <row r="6333" spans="13:28" s="308" customFormat="1" x14ac:dyDescent="0.2">
      <c r="M6333" s="309"/>
      <c r="AB6333" s="310"/>
    </row>
    <row r="6334" spans="13:28" s="308" customFormat="1" x14ac:dyDescent="0.2">
      <c r="M6334" s="309"/>
      <c r="AB6334" s="310"/>
    </row>
    <row r="6335" spans="13:28" s="308" customFormat="1" x14ac:dyDescent="0.2">
      <c r="M6335" s="309"/>
      <c r="AB6335" s="310"/>
    </row>
    <row r="6336" spans="13:28" s="308" customFormat="1" x14ac:dyDescent="0.2">
      <c r="M6336" s="309"/>
      <c r="AB6336" s="310"/>
    </row>
    <row r="6337" spans="13:28" s="308" customFormat="1" x14ac:dyDescent="0.2">
      <c r="M6337" s="309"/>
      <c r="AB6337" s="310"/>
    </row>
    <row r="6338" spans="13:28" s="308" customFormat="1" x14ac:dyDescent="0.2">
      <c r="M6338" s="309"/>
      <c r="AB6338" s="310"/>
    </row>
    <row r="6339" spans="13:28" s="308" customFormat="1" x14ac:dyDescent="0.2">
      <c r="M6339" s="309"/>
      <c r="AB6339" s="310"/>
    </row>
    <row r="6340" spans="13:28" s="308" customFormat="1" x14ac:dyDescent="0.2">
      <c r="M6340" s="309"/>
      <c r="AB6340" s="310"/>
    </row>
    <row r="6341" spans="13:28" s="308" customFormat="1" x14ac:dyDescent="0.2">
      <c r="M6341" s="309"/>
      <c r="AB6341" s="310"/>
    </row>
    <row r="6342" spans="13:28" s="308" customFormat="1" x14ac:dyDescent="0.2">
      <c r="M6342" s="309"/>
      <c r="AB6342" s="310"/>
    </row>
    <row r="6343" spans="13:28" s="308" customFormat="1" x14ac:dyDescent="0.2">
      <c r="M6343" s="309"/>
      <c r="AB6343" s="310"/>
    </row>
    <row r="6344" spans="13:28" s="308" customFormat="1" x14ac:dyDescent="0.2">
      <c r="M6344" s="309"/>
      <c r="AB6344" s="310"/>
    </row>
    <row r="6345" spans="13:28" s="308" customFormat="1" x14ac:dyDescent="0.2">
      <c r="M6345" s="309"/>
      <c r="AB6345" s="310"/>
    </row>
    <row r="6346" spans="13:28" s="308" customFormat="1" x14ac:dyDescent="0.2">
      <c r="M6346" s="309"/>
      <c r="AB6346" s="310"/>
    </row>
    <row r="6347" spans="13:28" s="308" customFormat="1" x14ac:dyDescent="0.2">
      <c r="M6347" s="309"/>
      <c r="AB6347" s="310"/>
    </row>
    <row r="6348" spans="13:28" s="308" customFormat="1" x14ac:dyDescent="0.2">
      <c r="M6348" s="309"/>
      <c r="AB6348" s="310"/>
    </row>
    <row r="6349" spans="13:28" s="308" customFormat="1" x14ac:dyDescent="0.2">
      <c r="M6349" s="309"/>
      <c r="AB6349" s="310"/>
    </row>
    <row r="6350" spans="13:28" s="308" customFormat="1" x14ac:dyDescent="0.2">
      <c r="M6350" s="309"/>
      <c r="AB6350" s="310"/>
    </row>
    <row r="6351" spans="13:28" s="308" customFormat="1" x14ac:dyDescent="0.2">
      <c r="M6351" s="309"/>
      <c r="AB6351" s="310"/>
    </row>
    <row r="6352" spans="13:28" s="308" customFormat="1" x14ac:dyDescent="0.2">
      <c r="M6352" s="309"/>
      <c r="AB6352" s="310"/>
    </row>
    <row r="6353" spans="13:28" s="308" customFormat="1" x14ac:dyDescent="0.2">
      <c r="M6353" s="309"/>
      <c r="AB6353" s="310"/>
    </row>
    <row r="6354" spans="13:28" s="308" customFormat="1" x14ac:dyDescent="0.2">
      <c r="M6354" s="309"/>
      <c r="AB6354" s="310"/>
    </row>
    <row r="6355" spans="13:28" s="308" customFormat="1" x14ac:dyDescent="0.2">
      <c r="M6355" s="309"/>
      <c r="AB6355" s="310"/>
    </row>
    <row r="6356" spans="13:28" s="308" customFormat="1" x14ac:dyDescent="0.2">
      <c r="M6356" s="309"/>
      <c r="AB6356" s="310"/>
    </row>
    <row r="6357" spans="13:28" s="308" customFormat="1" x14ac:dyDescent="0.2">
      <c r="M6357" s="309"/>
      <c r="AB6357" s="310"/>
    </row>
    <row r="6358" spans="13:28" s="308" customFormat="1" x14ac:dyDescent="0.2">
      <c r="M6358" s="309"/>
      <c r="AB6358" s="310"/>
    </row>
    <row r="6359" spans="13:28" s="308" customFormat="1" x14ac:dyDescent="0.2">
      <c r="M6359" s="309"/>
      <c r="AB6359" s="310"/>
    </row>
    <row r="6360" spans="13:28" s="308" customFormat="1" x14ac:dyDescent="0.2">
      <c r="M6360" s="309"/>
      <c r="AB6360" s="310"/>
    </row>
    <row r="6361" spans="13:28" s="308" customFormat="1" x14ac:dyDescent="0.2">
      <c r="M6361" s="309"/>
      <c r="AB6361" s="310"/>
    </row>
    <row r="6362" spans="13:28" s="308" customFormat="1" x14ac:dyDescent="0.2">
      <c r="M6362" s="309"/>
      <c r="AB6362" s="310"/>
    </row>
    <row r="6363" spans="13:28" s="308" customFormat="1" x14ac:dyDescent="0.2">
      <c r="M6363" s="309"/>
      <c r="AB6363" s="310"/>
    </row>
    <row r="6364" spans="13:28" s="308" customFormat="1" x14ac:dyDescent="0.2">
      <c r="M6364" s="309"/>
      <c r="AB6364" s="310"/>
    </row>
    <row r="6365" spans="13:28" s="308" customFormat="1" x14ac:dyDescent="0.2">
      <c r="M6365" s="309"/>
      <c r="AB6365" s="310"/>
    </row>
    <row r="6366" spans="13:28" s="308" customFormat="1" x14ac:dyDescent="0.2">
      <c r="M6366" s="309"/>
      <c r="AB6366" s="310"/>
    </row>
    <row r="6367" spans="13:28" s="308" customFormat="1" x14ac:dyDescent="0.2">
      <c r="M6367" s="309"/>
      <c r="AB6367" s="310"/>
    </row>
    <row r="6368" spans="13:28" s="308" customFormat="1" x14ac:dyDescent="0.2">
      <c r="M6368" s="309"/>
      <c r="AB6368" s="310"/>
    </row>
    <row r="6369" spans="13:28" s="308" customFormat="1" x14ac:dyDescent="0.2">
      <c r="M6369" s="309"/>
      <c r="AB6369" s="310"/>
    </row>
    <row r="6370" spans="13:28" s="308" customFormat="1" x14ac:dyDescent="0.2">
      <c r="M6370" s="309"/>
      <c r="AB6370" s="310"/>
    </row>
    <row r="6371" spans="13:28" s="308" customFormat="1" x14ac:dyDescent="0.2">
      <c r="M6371" s="309"/>
      <c r="AB6371" s="310"/>
    </row>
    <row r="6372" spans="13:28" s="308" customFormat="1" x14ac:dyDescent="0.2">
      <c r="M6372" s="309"/>
      <c r="AB6372" s="310"/>
    </row>
    <row r="6373" spans="13:28" s="308" customFormat="1" x14ac:dyDescent="0.2">
      <c r="M6373" s="309"/>
      <c r="AB6373" s="310"/>
    </row>
    <row r="6374" spans="13:28" s="308" customFormat="1" x14ac:dyDescent="0.2">
      <c r="M6374" s="309"/>
      <c r="AB6374" s="310"/>
    </row>
    <row r="6375" spans="13:28" s="308" customFormat="1" x14ac:dyDescent="0.2">
      <c r="M6375" s="309"/>
      <c r="AB6375" s="310"/>
    </row>
    <row r="6376" spans="13:28" s="308" customFormat="1" x14ac:dyDescent="0.2">
      <c r="M6376" s="309"/>
      <c r="AB6376" s="310"/>
    </row>
    <row r="6377" spans="13:28" s="308" customFormat="1" x14ac:dyDescent="0.2">
      <c r="M6377" s="309"/>
      <c r="AB6377" s="310"/>
    </row>
    <row r="6378" spans="13:28" s="308" customFormat="1" x14ac:dyDescent="0.2">
      <c r="M6378" s="309"/>
      <c r="AB6378" s="310"/>
    </row>
    <row r="6379" spans="13:28" s="308" customFormat="1" x14ac:dyDescent="0.2">
      <c r="M6379" s="309"/>
      <c r="AB6379" s="310"/>
    </row>
    <row r="6380" spans="13:28" s="308" customFormat="1" x14ac:dyDescent="0.2">
      <c r="M6380" s="309"/>
      <c r="AB6380" s="310"/>
    </row>
    <row r="6381" spans="13:28" s="308" customFormat="1" x14ac:dyDescent="0.2">
      <c r="M6381" s="309"/>
      <c r="AB6381" s="310"/>
    </row>
    <row r="6382" spans="13:28" s="308" customFormat="1" x14ac:dyDescent="0.2">
      <c r="M6382" s="309"/>
      <c r="AB6382" s="310"/>
    </row>
    <row r="6383" spans="13:28" s="308" customFormat="1" x14ac:dyDescent="0.2">
      <c r="M6383" s="309"/>
      <c r="AB6383" s="310"/>
    </row>
    <row r="6384" spans="13:28" s="308" customFormat="1" x14ac:dyDescent="0.2">
      <c r="M6384" s="309"/>
      <c r="AB6384" s="310"/>
    </row>
    <row r="6385" spans="13:28" s="308" customFormat="1" x14ac:dyDescent="0.2">
      <c r="M6385" s="309"/>
      <c r="AB6385" s="310"/>
    </row>
    <row r="6386" spans="13:28" s="308" customFormat="1" x14ac:dyDescent="0.2">
      <c r="M6386" s="309"/>
      <c r="AB6386" s="310"/>
    </row>
    <row r="6387" spans="13:28" s="308" customFormat="1" x14ac:dyDescent="0.2">
      <c r="M6387" s="309"/>
      <c r="AB6387" s="310"/>
    </row>
    <row r="6388" spans="13:28" s="308" customFormat="1" x14ac:dyDescent="0.2">
      <c r="M6388" s="309"/>
      <c r="AB6388" s="310"/>
    </row>
    <row r="6389" spans="13:28" s="308" customFormat="1" x14ac:dyDescent="0.2">
      <c r="M6389" s="309"/>
      <c r="AB6389" s="310"/>
    </row>
    <row r="6390" spans="13:28" s="308" customFormat="1" x14ac:dyDescent="0.2">
      <c r="M6390" s="309"/>
      <c r="AB6390" s="310"/>
    </row>
    <row r="6391" spans="13:28" s="308" customFormat="1" x14ac:dyDescent="0.2">
      <c r="M6391" s="309"/>
      <c r="AB6391" s="310"/>
    </row>
    <row r="6392" spans="13:28" s="308" customFormat="1" x14ac:dyDescent="0.2">
      <c r="M6392" s="309"/>
      <c r="AB6392" s="310"/>
    </row>
    <row r="6393" spans="13:28" s="308" customFormat="1" x14ac:dyDescent="0.2">
      <c r="M6393" s="309"/>
      <c r="AB6393" s="310"/>
    </row>
    <row r="6394" spans="13:28" s="308" customFormat="1" x14ac:dyDescent="0.2">
      <c r="M6394" s="309"/>
      <c r="AB6394" s="310"/>
    </row>
    <row r="6395" spans="13:28" s="308" customFormat="1" x14ac:dyDescent="0.2">
      <c r="M6395" s="309"/>
      <c r="AB6395" s="310"/>
    </row>
    <row r="6396" spans="13:28" s="308" customFormat="1" x14ac:dyDescent="0.2">
      <c r="M6396" s="309"/>
      <c r="AB6396" s="310"/>
    </row>
    <row r="6397" spans="13:28" s="308" customFormat="1" x14ac:dyDescent="0.2">
      <c r="M6397" s="309"/>
      <c r="AB6397" s="310"/>
    </row>
    <row r="6398" spans="13:28" s="308" customFormat="1" x14ac:dyDescent="0.2">
      <c r="M6398" s="309"/>
      <c r="AB6398" s="310"/>
    </row>
    <row r="6399" spans="13:28" s="308" customFormat="1" x14ac:dyDescent="0.2">
      <c r="M6399" s="309"/>
      <c r="AB6399" s="310"/>
    </row>
    <row r="6400" spans="13:28" s="308" customFormat="1" x14ac:dyDescent="0.2">
      <c r="M6400" s="309"/>
      <c r="AB6400" s="310"/>
    </row>
    <row r="6401" spans="13:28" s="308" customFormat="1" x14ac:dyDescent="0.2">
      <c r="M6401" s="309"/>
      <c r="AB6401" s="310"/>
    </row>
    <row r="6402" spans="13:28" s="308" customFormat="1" x14ac:dyDescent="0.2">
      <c r="M6402" s="309"/>
      <c r="AB6402" s="310"/>
    </row>
    <row r="6403" spans="13:28" s="308" customFormat="1" x14ac:dyDescent="0.2">
      <c r="M6403" s="309"/>
      <c r="AB6403" s="310"/>
    </row>
    <row r="6404" spans="13:28" s="308" customFormat="1" x14ac:dyDescent="0.2">
      <c r="M6404" s="309"/>
      <c r="AB6404" s="310"/>
    </row>
    <row r="6405" spans="13:28" s="308" customFormat="1" x14ac:dyDescent="0.2">
      <c r="M6405" s="309"/>
      <c r="AB6405" s="310"/>
    </row>
    <row r="6406" spans="13:28" s="308" customFormat="1" x14ac:dyDescent="0.2">
      <c r="M6406" s="309"/>
      <c r="AB6406" s="310"/>
    </row>
    <row r="6407" spans="13:28" s="308" customFormat="1" x14ac:dyDescent="0.2">
      <c r="M6407" s="309"/>
      <c r="AB6407" s="310"/>
    </row>
    <row r="6408" spans="13:28" s="308" customFormat="1" x14ac:dyDescent="0.2">
      <c r="M6408" s="309"/>
      <c r="AB6408" s="310"/>
    </row>
    <row r="6409" spans="13:28" s="308" customFormat="1" x14ac:dyDescent="0.2">
      <c r="M6409" s="309"/>
      <c r="AB6409" s="310"/>
    </row>
    <row r="6410" spans="13:28" s="308" customFormat="1" x14ac:dyDescent="0.2">
      <c r="M6410" s="309"/>
      <c r="AB6410" s="310"/>
    </row>
    <row r="6411" spans="13:28" s="308" customFormat="1" x14ac:dyDescent="0.2">
      <c r="M6411" s="309"/>
      <c r="AB6411" s="310"/>
    </row>
    <row r="6412" spans="13:28" s="308" customFormat="1" x14ac:dyDescent="0.2">
      <c r="M6412" s="309"/>
      <c r="AB6412" s="310"/>
    </row>
    <row r="6413" spans="13:28" s="308" customFormat="1" x14ac:dyDescent="0.2">
      <c r="M6413" s="309"/>
      <c r="AB6413" s="310"/>
    </row>
    <row r="6414" spans="13:28" s="308" customFormat="1" x14ac:dyDescent="0.2">
      <c r="M6414" s="309"/>
      <c r="AB6414" s="310"/>
    </row>
    <row r="6415" spans="13:28" s="308" customFormat="1" x14ac:dyDescent="0.2">
      <c r="M6415" s="309"/>
      <c r="AB6415" s="310"/>
    </row>
    <row r="6416" spans="13:28" s="308" customFormat="1" x14ac:dyDescent="0.2">
      <c r="M6416" s="309"/>
      <c r="AB6416" s="310"/>
    </row>
    <row r="6417" spans="13:28" s="308" customFormat="1" x14ac:dyDescent="0.2">
      <c r="M6417" s="309"/>
      <c r="AB6417" s="310"/>
    </row>
    <row r="6418" spans="13:28" s="308" customFormat="1" x14ac:dyDescent="0.2">
      <c r="M6418" s="309"/>
      <c r="AB6418" s="310"/>
    </row>
    <row r="6419" spans="13:28" s="308" customFormat="1" x14ac:dyDescent="0.2">
      <c r="M6419" s="309"/>
      <c r="AB6419" s="310"/>
    </row>
    <row r="6420" spans="13:28" s="308" customFormat="1" x14ac:dyDescent="0.2">
      <c r="M6420" s="309"/>
      <c r="AB6420" s="310"/>
    </row>
    <row r="6421" spans="13:28" s="308" customFormat="1" x14ac:dyDescent="0.2">
      <c r="M6421" s="309"/>
      <c r="AB6421" s="310"/>
    </row>
    <row r="6422" spans="13:28" s="308" customFormat="1" x14ac:dyDescent="0.2">
      <c r="M6422" s="309"/>
      <c r="AB6422" s="310"/>
    </row>
    <row r="6423" spans="13:28" s="308" customFormat="1" x14ac:dyDescent="0.2">
      <c r="M6423" s="309"/>
      <c r="AB6423" s="310"/>
    </row>
    <row r="6424" spans="13:28" s="308" customFormat="1" x14ac:dyDescent="0.2">
      <c r="M6424" s="309"/>
      <c r="AB6424" s="310"/>
    </row>
    <row r="6425" spans="13:28" s="308" customFormat="1" x14ac:dyDescent="0.2">
      <c r="M6425" s="309"/>
      <c r="AB6425" s="310"/>
    </row>
    <row r="6426" spans="13:28" s="308" customFormat="1" x14ac:dyDescent="0.2">
      <c r="M6426" s="309"/>
      <c r="AB6426" s="310"/>
    </row>
    <row r="6427" spans="13:28" s="308" customFormat="1" x14ac:dyDescent="0.2">
      <c r="M6427" s="309"/>
      <c r="AB6427" s="310"/>
    </row>
    <row r="6428" spans="13:28" s="308" customFormat="1" x14ac:dyDescent="0.2">
      <c r="M6428" s="309"/>
      <c r="AB6428" s="310"/>
    </row>
    <row r="6429" spans="13:28" s="308" customFormat="1" x14ac:dyDescent="0.2">
      <c r="M6429" s="309"/>
      <c r="AB6429" s="310"/>
    </row>
    <row r="6430" spans="13:28" s="308" customFormat="1" x14ac:dyDescent="0.2">
      <c r="M6430" s="309"/>
      <c r="AB6430" s="310"/>
    </row>
    <row r="6431" spans="13:28" s="308" customFormat="1" x14ac:dyDescent="0.2">
      <c r="M6431" s="309"/>
      <c r="AB6431" s="310"/>
    </row>
    <row r="6432" spans="13:28" s="308" customFormat="1" x14ac:dyDescent="0.2">
      <c r="M6432" s="309"/>
      <c r="AB6432" s="310"/>
    </row>
    <row r="6433" spans="13:28" s="308" customFormat="1" x14ac:dyDescent="0.2">
      <c r="M6433" s="309"/>
      <c r="AB6433" s="310"/>
    </row>
    <row r="6434" spans="13:28" s="308" customFormat="1" x14ac:dyDescent="0.2">
      <c r="M6434" s="309"/>
      <c r="AB6434" s="310"/>
    </row>
    <row r="6435" spans="13:28" s="308" customFormat="1" x14ac:dyDescent="0.2">
      <c r="M6435" s="309"/>
      <c r="AB6435" s="310"/>
    </row>
    <row r="6436" spans="13:28" s="308" customFormat="1" x14ac:dyDescent="0.2">
      <c r="M6436" s="309"/>
      <c r="AB6436" s="310"/>
    </row>
    <row r="6437" spans="13:28" s="308" customFormat="1" x14ac:dyDescent="0.2">
      <c r="M6437" s="309"/>
      <c r="AB6437" s="310"/>
    </row>
    <row r="6438" spans="13:28" s="308" customFormat="1" x14ac:dyDescent="0.2">
      <c r="M6438" s="309"/>
      <c r="AB6438" s="310"/>
    </row>
    <row r="6439" spans="13:28" s="308" customFormat="1" x14ac:dyDescent="0.2">
      <c r="M6439" s="309"/>
      <c r="AB6439" s="310"/>
    </row>
    <row r="6440" spans="13:28" s="308" customFormat="1" x14ac:dyDescent="0.2">
      <c r="M6440" s="309"/>
      <c r="AB6440" s="310"/>
    </row>
    <row r="6441" spans="13:28" s="308" customFormat="1" x14ac:dyDescent="0.2">
      <c r="M6441" s="309"/>
      <c r="AB6441" s="310"/>
    </row>
    <row r="6442" spans="13:28" s="308" customFormat="1" x14ac:dyDescent="0.2">
      <c r="M6442" s="309"/>
      <c r="AB6442" s="310"/>
    </row>
    <row r="6443" spans="13:28" s="308" customFormat="1" x14ac:dyDescent="0.2">
      <c r="M6443" s="309"/>
      <c r="AB6443" s="310"/>
    </row>
    <row r="6444" spans="13:28" s="308" customFormat="1" x14ac:dyDescent="0.2">
      <c r="M6444" s="309"/>
      <c r="AB6444" s="310"/>
    </row>
    <row r="6445" spans="13:28" s="308" customFormat="1" x14ac:dyDescent="0.2">
      <c r="M6445" s="309"/>
      <c r="AB6445" s="310"/>
    </row>
    <row r="6446" spans="13:28" s="308" customFormat="1" x14ac:dyDescent="0.2">
      <c r="M6446" s="309"/>
      <c r="AB6446" s="310"/>
    </row>
    <row r="6447" spans="13:28" s="308" customFormat="1" x14ac:dyDescent="0.2">
      <c r="M6447" s="309"/>
      <c r="AB6447" s="310"/>
    </row>
    <row r="6448" spans="13:28" s="308" customFormat="1" x14ac:dyDescent="0.2">
      <c r="M6448" s="309"/>
      <c r="AB6448" s="310"/>
    </row>
    <row r="6449" spans="13:28" s="308" customFormat="1" x14ac:dyDescent="0.2">
      <c r="M6449" s="309"/>
      <c r="AB6449" s="310"/>
    </row>
    <row r="6450" spans="13:28" s="308" customFormat="1" x14ac:dyDescent="0.2">
      <c r="M6450" s="309"/>
      <c r="AB6450" s="310"/>
    </row>
    <row r="6451" spans="13:28" s="308" customFormat="1" x14ac:dyDescent="0.2">
      <c r="M6451" s="309"/>
      <c r="AB6451" s="310"/>
    </row>
    <row r="6452" spans="13:28" s="308" customFormat="1" x14ac:dyDescent="0.2">
      <c r="M6452" s="309"/>
      <c r="AB6452" s="310"/>
    </row>
    <row r="6453" spans="13:28" s="308" customFormat="1" x14ac:dyDescent="0.2">
      <c r="M6453" s="309"/>
      <c r="AB6453" s="310"/>
    </row>
    <row r="6454" spans="13:28" s="308" customFormat="1" x14ac:dyDescent="0.2">
      <c r="M6454" s="309"/>
      <c r="AB6454" s="310"/>
    </row>
    <row r="6455" spans="13:28" s="308" customFormat="1" x14ac:dyDescent="0.2">
      <c r="M6455" s="309"/>
      <c r="AB6455" s="310"/>
    </row>
    <row r="6456" spans="13:28" s="308" customFormat="1" x14ac:dyDescent="0.2">
      <c r="M6456" s="309"/>
      <c r="AB6456" s="310"/>
    </row>
    <row r="6457" spans="13:28" s="308" customFormat="1" x14ac:dyDescent="0.2">
      <c r="M6457" s="309"/>
      <c r="AB6457" s="310"/>
    </row>
    <row r="6458" spans="13:28" s="308" customFormat="1" x14ac:dyDescent="0.2">
      <c r="M6458" s="309"/>
      <c r="AB6458" s="310"/>
    </row>
    <row r="6459" spans="13:28" s="308" customFormat="1" x14ac:dyDescent="0.2">
      <c r="M6459" s="309"/>
      <c r="AB6459" s="310"/>
    </row>
    <row r="6460" spans="13:28" s="308" customFormat="1" x14ac:dyDescent="0.2">
      <c r="M6460" s="309"/>
      <c r="AB6460" s="310"/>
    </row>
    <row r="6461" spans="13:28" s="308" customFormat="1" x14ac:dyDescent="0.2">
      <c r="M6461" s="309"/>
      <c r="AB6461" s="310"/>
    </row>
    <row r="6462" spans="13:28" s="308" customFormat="1" x14ac:dyDescent="0.2">
      <c r="M6462" s="309"/>
      <c r="AB6462" s="310"/>
    </row>
    <row r="6463" spans="13:28" s="308" customFormat="1" x14ac:dyDescent="0.2">
      <c r="M6463" s="309"/>
      <c r="AB6463" s="310"/>
    </row>
    <row r="6464" spans="13:28" s="308" customFormat="1" x14ac:dyDescent="0.2">
      <c r="M6464" s="309"/>
      <c r="AB6464" s="310"/>
    </row>
    <row r="6465" spans="13:28" s="308" customFormat="1" x14ac:dyDescent="0.2">
      <c r="M6465" s="309"/>
      <c r="AB6465" s="310"/>
    </row>
    <row r="6466" spans="13:28" s="308" customFormat="1" x14ac:dyDescent="0.2">
      <c r="M6466" s="309"/>
      <c r="AB6466" s="310"/>
    </row>
    <row r="6467" spans="13:28" s="308" customFormat="1" x14ac:dyDescent="0.2">
      <c r="M6467" s="309"/>
      <c r="AB6467" s="310"/>
    </row>
    <row r="6468" spans="13:28" s="308" customFormat="1" x14ac:dyDescent="0.2">
      <c r="M6468" s="309"/>
      <c r="AB6468" s="310"/>
    </row>
    <row r="6469" spans="13:28" s="308" customFormat="1" x14ac:dyDescent="0.2">
      <c r="M6469" s="309"/>
      <c r="AB6469" s="310"/>
    </row>
    <row r="6470" spans="13:28" s="308" customFormat="1" x14ac:dyDescent="0.2">
      <c r="M6470" s="309"/>
      <c r="AB6470" s="310"/>
    </row>
    <row r="6471" spans="13:28" s="308" customFormat="1" x14ac:dyDescent="0.2">
      <c r="M6471" s="309"/>
      <c r="AB6471" s="310"/>
    </row>
    <row r="6472" spans="13:28" s="308" customFormat="1" x14ac:dyDescent="0.2">
      <c r="M6472" s="309"/>
      <c r="AB6472" s="310"/>
    </row>
    <row r="6473" spans="13:28" s="308" customFormat="1" x14ac:dyDescent="0.2">
      <c r="M6473" s="309"/>
      <c r="AB6473" s="310"/>
    </row>
    <row r="6474" spans="13:28" s="308" customFormat="1" x14ac:dyDescent="0.2">
      <c r="M6474" s="309"/>
      <c r="AB6474" s="310"/>
    </row>
    <row r="6475" spans="13:28" s="308" customFormat="1" x14ac:dyDescent="0.2">
      <c r="M6475" s="309"/>
      <c r="AB6475" s="310"/>
    </row>
    <row r="6476" spans="13:28" s="308" customFormat="1" x14ac:dyDescent="0.2">
      <c r="M6476" s="309"/>
      <c r="AB6476" s="310"/>
    </row>
    <row r="6477" spans="13:28" s="308" customFormat="1" x14ac:dyDescent="0.2">
      <c r="M6477" s="309"/>
      <c r="AB6477" s="310"/>
    </row>
    <row r="6478" spans="13:28" s="308" customFormat="1" x14ac:dyDescent="0.2">
      <c r="M6478" s="309"/>
      <c r="AB6478" s="310"/>
    </row>
    <row r="6479" spans="13:28" s="308" customFormat="1" x14ac:dyDescent="0.2">
      <c r="M6479" s="309"/>
      <c r="AB6479" s="310"/>
    </row>
    <row r="6480" spans="13:28" s="308" customFormat="1" x14ac:dyDescent="0.2">
      <c r="M6480" s="309"/>
      <c r="AB6480" s="310"/>
    </row>
    <row r="6481" spans="13:28" s="308" customFormat="1" x14ac:dyDescent="0.2">
      <c r="M6481" s="309"/>
      <c r="AB6481" s="310"/>
    </row>
    <row r="6482" spans="13:28" s="308" customFormat="1" x14ac:dyDescent="0.2">
      <c r="M6482" s="309"/>
      <c r="AB6482" s="310"/>
    </row>
    <row r="6483" spans="13:28" s="308" customFormat="1" x14ac:dyDescent="0.2">
      <c r="M6483" s="309"/>
      <c r="AB6483" s="310"/>
    </row>
    <row r="6484" spans="13:28" s="308" customFormat="1" x14ac:dyDescent="0.2">
      <c r="M6484" s="309"/>
      <c r="AB6484" s="310"/>
    </row>
    <row r="6485" spans="13:28" s="308" customFormat="1" x14ac:dyDescent="0.2">
      <c r="M6485" s="309"/>
      <c r="AB6485" s="310"/>
    </row>
    <row r="6486" spans="13:28" s="308" customFormat="1" x14ac:dyDescent="0.2">
      <c r="M6486" s="309"/>
      <c r="AB6486" s="310"/>
    </row>
    <row r="6487" spans="13:28" s="308" customFormat="1" x14ac:dyDescent="0.2">
      <c r="M6487" s="309"/>
      <c r="AB6487" s="310"/>
    </row>
    <row r="6488" spans="13:28" s="308" customFormat="1" x14ac:dyDescent="0.2">
      <c r="M6488" s="309"/>
      <c r="AB6488" s="310"/>
    </row>
    <row r="6489" spans="13:28" s="308" customFormat="1" x14ac:dyDescent="0.2">
      <c r="M6489" s="309"/>
      <c r="AB6489" s="310"/>
    </row>
    <row r="6490" spans="13:28" s="308" customFormat="1" x14ac:dyDescent="0.2">
      <c r="M6490" s="309"/>
      <c r="AB6490" s="310"/>
    </row>
    <row r="6491" spans="13:28" s="308" customFormat="1" x14ac:dyDescent="0.2">
      <c r="M6491" s="309"/>
      <c r="AB6491" s="310"/>
    </row>
    <row r="6492" spans="13:28" s="308" customFormat="1" x14ac:dyDescent="0.2">
      <c r="M6492" s="309"/>
      <c r="AB6492" s="310"/>
    </row>
    <row r="6493" spans="13:28" s="308" customFormat="1" x14ac:dyDescent="0.2">
      <c r="M6493" s="309"/>
      <c r="AB6493" s="310"/>
    </row>
    <row r="6494" spans="13:28" s="308" customFormat="1" x14ac:dyDescent="0.2">
      <c r="M6494" s="309"/>
      <c r="AB6494" s="310"/>
    </row>
    <row r="6495" spans="13:28" s="308" customFormat="1" x14ac:dyDescent="0.2">
      <c r="M6495" s="309"/>
      <c r="AB6495" s="310"/>
    </row>
    <row r="6496" spans="13:28" s="308" customFormat="1" x14ac:dyDescent="0.2">
      <c r="M6496" s="309"/>
      <c r="AB6496" s="310"/>
    </row>
    <row r="6497" spans="13:28" s="308" customFormat="1" x14ac:dyDescent="0.2">
      <c r="M6497" s="309"/>
      <c r="AB6497" s="310"/>
    </row>
    <row r="6498" spans="13:28" s="308" customFormat="1" x14ac:dyDescent="0.2">
      <c r="M6498" s="309"/>
      <c r="AB6498" s="310"/>
    </row>
    <row r="6499" spans="13:28" s="308" customFormat="1" x14ac:dyDescent="0.2">
      <c r="M6499" s="309"/>
      <c r="AB6499" s="310"/>
    </row>
    <row r="6500" spans="13:28" s="308" customFormat="1" x14ac:dyDescent="0.2">
      <c r="M6500" s="309"/>
      <c r="AB6500" s="310"/>
    </row>
    <row r="6501" spans="13:28" s="308" customFormat="1" x14ac:dyDescent="0.2">
      <c r="M6501" s="309"/>
      <c r="AB6501" s="310"/>
    </row>
    <row r="6502" spans="13:28" s="308" customFormat="1" x14ac:dyDescent="0.2">
      <c r="M6502" s="309"/>
      <c r="AB6502" s="310"/>
    </row>
    <row r="6503" spans="13:28" s="308" customFormat="1" x14ac:dyDescent="0.2">
      <c r="M6503" s="309"/>
      <c r="AB6503" s="310"/>
    </row>
    <row r="6504" spans="13:28" s="308" customFormat="1" x14ac:dyDescent="0.2">
      <c r="M6504" s="309"/>
      <c r="AB6504" s="310"/>
    </row>
    <row r="6505" spans="13:28" s="308" customFormat="1" x14ac:dyDescent="0.2">
      <c r="M6505" s="309"/>
      <c r="AB6505" s="310"/>
    </row>
    <row r="6506" spans="13:28" s="308" customFormat="1" x14ac:dyDescent="0.2">
      <c r="M6506" s="309"/>
      <c r="AB6506" s="310"/>
    </row>
    <row r="6507" spans="13:28" s="308" customFormat="1" x14ac:dyDescent="0.2">
      <c r="M6507" s="309"/>
      <c r="AB6507" s="310"/>
    </row>
    <row r="6508" spans="13:28" s="308" customFormat="1" x14ac:dyDescent="0.2">
      <c r="M6508" s="309"/>
      <c r="AB6508" s="310"/>
    </row>
    <row r="6509" spans="13:28" s="308" customFormat="1" x14ac:dyDescent="0.2">
      <c r="M6509" s="309"/>
      <c r="AB6509" s="310"/>
    </row>
    <row r="6510" spans="13:28" s="308" customFormat="1" x14ac:dyDescent="0.2">
      <c r="M6510" s="309"/>
      <c r="AB6510" s="310"/>
    </row>
    <row r="6511" spans="13:28" s="308" customFormat="1" x14ac:dyDescent="0.2">
      <c r="M6511" s="309"/>
      <c r="AB6511" s="310"/>
    </row>
    <row r="6512" spans="13:28" s="308" customFormat="1" x14ac:dyDescent="0.2">
      <c r="M6512" s="309"/>
      <c r="AB6512" s="310"/>
    </row>
    <row r="6513" spans="13:28" s="308" customFormat="1" x14ac:dyDescent="0.2">
      <c r="M6513" s="309"/>
      <c r="AB6513" s="310"/>
    </row>
    <row r="6514" spans="13:28" s="308" customFormat="1" x14ac:dyDescent="0.2">
      <c r="M6514" s="309"/>
      <c r="AB6514" s="310"/>
    </row>
    <row r="6515" spans="13:28" s="308" customFormat="1" x14ac:dyDescent="0.2">
      <c r="M6515" s="309"/>
      <c r="AB6515" s="310"/>
    </row>
    <row r="6516" spans="13:28" s="308" customFormat="1" x14ac:dyDescent="0.2">
      <c r="M6516" s="309"/>
      <c r="AB6516" s="310"/>
    </row>
    <row r="6517" spans="13:28" s="308" customFormat="1" x14ac:dyDescent="0.2">
      <c r="M6517" s="309"/>
      <c r="AB6517" s="310"/>
    </row>
    <row r="6518" spans="13:28" s="308" customFormat="1" x14ac:dyDescent="0.2">
      <c r="M6518" s="309"/>
      <c r="AB6518" s="310"/>
    </row>
    <row r="6519" spans="13:28" s="308" customFormat="1" x14ac:dyDescent="0.2">
      <c r="M6519" s="309"/>
      <c r="AB6519" s="310"/>
    </row>
    <row r="6520" spans="13:28" s="308" customFormat="1" x14ac:dyDescent="0.2">
      <c r="M6520" s="309"/>
      <c r="AB6520" s="310"/>
    </row>
    <row r="6521" spans="13:28" s="308" customFormat="1" x14ac:dyDescent="0.2">
      <c r="M6521" s="309"/>
      <c r="AB6521" s="310"/>
    </row>
    <row r="6522" spans="13:28" s="308" customFormat="1" x14ac:dyDescent="0.2">
      <c r="M6522" s="309"/>
      <c r="AB6522" s="310"/>
    </row>
    <row r="6523" spans="13:28" s="308" customFormat="1" x14ac:dyDescent="0.2">
      <c r="M6523" s="309"/>
      <c r="AB6523" s="310"/>
    </row>
    <row r="6524" spans="13:28" s="308" customFormat="1" x14ac:dyDescent="0.2">
      <c r="M6524" s="309"/>
      <c r="AB6524" s="310"/>
    </row>
    <row r="6525" spans="13:28" s="308" customFormat="1" x14ac:dyDescent="0.2">
      <c r="M6525" s="309"/>
      <c r="AB6525" s="310"/>
    </row>
    <row r="6526" spans="13:28" s="308" customFormat="1" x14ac:dyDescent="0.2">
      <c r="M6526" s="309"/>
      <c r="AB6526" s="310"/>
    </row>
    <row r="6527" spans="13:28" s="308" customFormat="1" x14ac:dyDescent="0.2">
      <c r="M6527" s="309"/>
      <c r="AB6527" s="310"/>
    </row>
    <row r="6528" spans="13:28" s="308" customFormat="1" x14ac:dyDescent="0.2">
      <c r="M6528" s="309"/>
      <c r="AB6528" s="310"/>
    </row>
    <row r="6529" spans="13:28" s="308" customFormat="1" x14ac:dyDescent="0.2">
      <c r="M6529" s="309"/>
      <c r="AB6529" s="310"/>
    </row>
    <row r="6530" spans="13:28" s="308" customFormat="1" x14ac:dyDescent="0.2">
      <c r="M6530" s="309"/>
      <c r="AB6530" s="310"/>
    </row>
    <row r="6531" spans="13:28" s="308" customFormat="1" x14ac:dyDescent="0.2">
      <c r="M6531" s="309"/>
      <c r="AB6531" s="310"/>
    </row>
    <row r="6532" spans="13:28" s="308" customFormat="1" x14ac:dyDescent="0.2">
      <c r="M6532" s="309"/>
      <c r="AB6532" s="310"/>
    </row>
    <row r="6533" spans="13:28" s="308" customFormat="1" x14ac:dyDescent="0.2">
      <c r="M6533" s="309"/>
      <c r="AB6533" s="310"/>
    </row>
    <row r="6534" spans="13:28" s="308" customFormat="1" x14ac:dyDescent="0.2">
      <c r="M6534" s="309"/>
      <c r="AB6534" s="310"/>
    </row>
    <row r="6535" spans="13:28" s="308" customFormat="1" x14ac:dyDescent="0.2">
      <c r="M6535" s="309"/>
      <c r="AB6535" s="310"/>
    </row>
    <row r="6536" spans="13:28" s="308" customFormat="1" x14ac:dyDescent="0.2">
      <c r="M6536" s="309"/>
      <c r="AB6536" s="310"/>
    </row>
    <row r="6537" spans="13:28" s="308" customFormat="1" x14ac:dyDescent="0.2">
      <c r="M6537" s="309"/>
      <c r="AB6537" s="310"/>
    </row>
    <row r="6538" spans="13:28" s="308" customFormat="1" x14ac:dyDescent="0.2">
      <c r="M6538" s="309"/>
      <c r="AB6538" s="310"/>
    </row>
    <row r="6539" spans="13:28" s="308" customFormat="1" x14ac:dyDescent="0.2">
      <c r="M6539" s="309"/>
      <c r="AB6539" s="310"/>
    </row>
    <row r="6540" spans="13:28" s="308" customFormat="1" x14ac:dyDescent="0.2">
      <c r="M6540" s="309"/>
      <c r="AB6540" s="310"/>
    </row>
    <row r="6541" spans="13:28" s="308" customFormat="1" x14ac:dyDescent="0.2">
      <c r="M6541" s="309"/>
      <c r="AB6541" s="310"/>
    </row>
    <row r="6542" spans="13:28" s="308" customFormat="1" x14ac:dyDescent="0.2">
      <c r="M6542" s="309"/>
      <c r="AB6542" s="310"/>
    </row>
    <row r="6543" spans="13:28" s="308" customFormat="1" x14ac:dyDescent="0.2">
      <c r="M6543" s="309"/>
      <c r="AB6543" s="310"/>
    </row>
    <row r="6544" spans="13:28" s="308" customFormat="1" x14ac:dyDescent="0.2">
      <c r="M6544" s="309"/>
      <c r="AB6544" s="310"/>
    </row>
    <row r="6545" spans="13:28" s="308" customFormat="1" x14ac:dyDescent="0.2">
      <c r="M6545" s="309"/>
      <c r="AB6545" s="310"/>
    </row>
    <row r="6546" spans="13:28" s="308" customFormat="1" x14ac:dyDescent="0.2">
      <c r="M6546" s="309"/>
      <c r="AB6546" s="310"/>
    </row>
    <row r="6547" spans="13:28" s="308" customFormat="1" x14ac:dyDescent="0.2">
      <c r="M6547" s="309"/>
      <c r="AB6547" s="310"/>
    </row>
    <row r="6548" spans="13:28" s="308" customFormat="1" x14ac:dyDescent="0.2">
      <c r="M6548" s="309"/>
      <c r="AB6548" s="310"/>
    </row>
    <row r="6549" spans="13:28" s="308" customFormat="1" x14ac:dyDescent="0.2">
      <c r="M6549" s="309"/>
      <c r="AB6549" s="310"/>
    </row>
    <row r="6550" spans="13:28" s="308" customFormat="1" x14ac:dyDescent="0.2">
      <c r="M6550" s="309"/>
      <c r="AB6550" s="310"/>
    </row>
    <row r="6551" spans="13:28" s="308" customFormat="1" x14ac:dyDescent="0.2">
      <c r="M6551" s="309"/>
      <c r="AB6551" s="310"/>
    </row>
    <row r="6552" spans="13:28" s="308" customFormat="1" x14ac:dyDescent="0.2">
      <c r="M6552" s="309"/>
      <c r="AB6552" s="310"/>
    </row>
    <row r="6553" spans="13:28" s="308" customFormat="1" x14ac:dyDescent="0.2">
      <c r="M6553" s="309"/>
      <c r="AB6553" s="310"/>
    </row>
    <row r="6554" spans="13:28" s="308" customFormat="1" x14ac:dyDescent="0.2">
      <c r="M6554" s="309"/>
      <c r="AB6554" s="310"/>
    </row>
    <row r="6555" spans="13:28" s="308" customFormat="1" x14ac:dyDescent="0.2">
      <c r="M6555" s="309"/>
      <c r="AB6555" s="310"/>
    </row>
    <row r="6556" spans="13:28" s="308" customFormat="1" x14ac:dyDescent="0.2">
      <c r="M6556" s="309"/>
      <c r="AB6556" s="310"/>
    </row>
    <row r="6557" spans="13:28" s="308" customFormat="1" x14ac:dyDescent="0.2">
      <c r="M6557" s="309"/>
      <c r="AB6557" s="310"/>
    </row>
    <row r="6558" spans="13:28" s="308" customFormat="1" x14ac:dyDescent="0.2">
      <c r="M6558" s="309"/>
      <c r="AB6558" s="310"/>
    </row>
    <row r="6559" spans="13:28" s="308" customFormat="1" x14ac:dyDescent="0.2">
      <c r="M6559" s="309"/>
      <c r="AB6559" s="310"/>
    </row>
    <row r="6560" spans="13:28" s="308" customFormat="1" x14ac:dyDescent="0.2">
      <c r="M6560" s="309"/>
      <c r="AB6560" s="310"/>
    </row>
    <row r="6561" spans="13:28" s="308" customFormat="1" x14ac:dyDescent="0.2">
      <c r="M6561" s="309"/>
      <c r="AB6561" s="310"/>
    </row>
    <row r="6562" spans="13:28" s="308" customFormat="1" x14ac:dyDescent="0.2">
      <c r="M6562" s="309"/>
      <c r="AB6562" s="310"/>
    </row>
    <row r="6563" spans="13:28" s="308" customFormat="1" x14ac:dyDescent="0.2">
      <c r="M6563" s="309"/>
      <c r="AB6563" s="310"/>
    </row>
    <row r="6564" spans="13:28" s="308" customFormat="1" x14ac:dyDescent="0.2">
      <c r="M6564" s="309"/>
      <c r="AB6564" s="310"/>
    </row>
    <row r="6565" spans="13:28" s="308" customFormat="1" x14ac:dyDescent="0.2">
      <c r="M6565" s="309"/>
      <c r="AB6565" s="310"/>
    </row>
    <row r="6566" spans="13:28" s="308" customFormat="1" x14ac:dyDescent="0.2">
      <c r="M6566" s="309"/>
      <c r="AB6566" s="310"/>
    </row>
    <row r="6567" spans="13:28" s="308" customFormat="1" x14ac:dyDescent="0.2">
      <c r="M6567" s="309"/>
      <c r="AB6567" s="310"/>
    </row>
    <row r="6568" spans="13:28" s="308" customFormat="1" x14ac:dyDescent="0.2">
      <c r="M6568" s="309"/>
      <c r="AB6568" s="310"/>
    </row>
    <row r="6569" spans="13:28" s="308" customFormat="1" x14ac:dyDescent="0.2">
      <c r="M6569" s="309"/>
      <c r="AB6569" s="310"/>
    </row>
    <row r="6570" spans="13:28" s="308" customFormat="1" x14ac:dyDescent="0.2">
      <c r="M6570" s="309"/>
      <c r="AB6570" s="310"/>
    </row>
    <row r="6571" spans="13:28" s="308" customFormat="1" x14ac:dyDescent="0.2">
      <c r="M6571" s="309"/>
      <c r="AB6571" s="310"/>
    </row>
    <row r="6572" spans="13:28" s="308" customFormat="1" x14ac:dyDescent="0.2">
      <c r="M6572" s="309"/>
      <c r="AB6572" s="310"/>
    </row>
    <row r="6573" spans="13:28" s="308" customFormat="1" x14ac:dyDescent="0.2">
      <c r="M6573" s="309"/>
      <c r="AB6573" s="310"/>
    </row>
    <row r="6574" spans="13:28" s="308" customFormat="1" x14ac:dyDescent="0.2">
      <c r="M6574" s="309"/>
      <c r="AB6574" s="310"/>
    </row>
    <row r="6575" spans="13:28" s="308" customFormat="1" x14ac:dyDescent="0.2">
      <c r="M6575" s="309"/>
      <c r="AB6575" s="310"/>
    </row>
    <row r="6576" spans="13:28" s="308" customFormat="1" x14ac:dyDescent="0.2">
      <c r="M6576" s="309"/>
      <c r="AB6576" s="310"/>
    </row>
    <row r="6577" spans="13:28" s="308" customFormat="1" x14ac:dyDescent="0.2">
      <c r="M6577" s="309"/>
      <c r="AB6577" s="310"/>
    </row>
    <row r="6578" spans="13:28" s="308" customFormat="1" x14ac:dyDescent="0.2">
      <c r="M6578" s="309"/>
      <c r="AB6578" s="310"/>
    </row>
    <row r="6579" spans="13:28" s="308" customFormat="1" x14ac:dyDescent="0.2">
      <c r="M6579" s="309"/>
      <c r="AB6579" s="310"/>
    </row>
    <row r="6580" spans="13:28" s="308" customFormat="1" x14ac:dyDescent="0.2">
      <c r="M6580" s="309"/>
      <c r="AB6580" s="310"/>
    </row>
    <row r="6581" spans="13:28" s="308" customFormat="1" x14ac:dyDescent="0.2">
      <c r="M6581" s="309"/>
      <c r="AB6581" s="310"/>
    </row>
    <row r="6582" spans="13:28" s="308" customFormat="1" x14ac:dyDescent="0.2">
      <c r="M6582" s="309"/>
      <c r="AB6582" s="310"/>
    </row>
    <row r="6583" spans="13:28" s="308" customFormat="1" x14ac:dyDescent="0.2">
      <c r="M6583" s="309"/>
      <c r="AB6583" s="310"/>
    </row>
    <row r="6584" spans="13:28" s="308" customFormat="1" x14ac:dyDescent="0.2">
      <c r="M6584" s="309"/>
      <c r="AB6584" s="310"/>
    </row>
    <row r="6585" spans="13:28" s="308" customFormat="1" x14ac:dyDescent="0.2">
      <c r="M6585" s="309"/>
      <c r="AB6585" s="310"/>
    </row>
    <row r="6586" spans="13:28" s="308" customFormat="1" x14ac:dyDescent="0.2">
      <c r="M6586" s="309"/>
      <c r="AB6586" s="310"/>
    </row>
    <row r="6587" spans="13:28" s="308" customFormat="1" x14ac:dyDescent="0.2">
      <c r="M6587" s="309"/>
      <c r="AB6587" s="310"/>
    </row>
    <row r="6588" spans="13:28" s="308" customFormat="1" x14ac:dyDescent="0.2">
      <c r="M6588" s="309"/>
      <c r="AB6588" s="310"/>
    </row>
    <row r="6589" spans="13:28" s="308" customFormat="1" x14ac:dyDescent="0.2">
      <c r="M6589" s="309"/>
      <c r="AB6589" s="310"/>
    </row>
    <row r="6590" spans="13:28" s="308" customFormat="1" x14ac:dyDescent="0.2">
      <c r="M6590" s="309"/>
      <c r="AB6590" s="310"/>
    </row>
    <row r="6591" spans="13:28" s="308" customFormat="1" x14ac:dyDescent="0.2">
      <c r="M6591" s="309"/>
      <c r="AB6591" s="310"/>
    </row>
    <row r="6592" spans="13:28" s="308" customFormat="1" x14ac:dyDescent="0.2">
      <c r="M6592" s="309"/>
      <c r="AB6592" s="310"/>
    </row>
    <row r="6593" spans="13:28" s="308" customFormat="1" x14ac:dyDescent="0.2">
      <c r="M6593" s="309"/>
      <c r="AB6593" s="310"/>
    </row>
    <row r="6594" spans="13:28" s="308" customFormat="1" x14ac:dyDescent="0.2">
      <c r="M6594" s="309"/>
      <c r="AB6594" s="310"/>
    </row>
    <row r="6595" spans="13:28" s="308" customFormat="1" x14ac:dyDescent="0.2">
      <c r="M6595" s="309"/>
      <c r="AB6595" s="310"/>
    </row>
    <row r="6596" spans="13:28" s="308" customFormat="1" x14ac:dyDescent="0.2">
      <c r="M6596" s="309"/>
      <c r="AB6596" s="310"/>
    </row>
    <row r="6597" spans="13:28" s="308" customFormat="1" x14ac:dyDescent="0.2">
      <c r="M6597" s="309"/>
      <c r="AB6597" s="310"/>
    </row>
    <row r="6598" spans="13:28" s="308" customFormat="1" x14ac:dyDescent="0.2">
      <c r="M6598" s="309"/>
      <c r="AB6598" s="310"/>
    </row>
    <row r="6599" spans="13:28" s="308" customFormat="1" x14ac:dyDescent="0.2">
      <c r="M6599" s="309"/>
      <c r="AB6599" s="310"/>
    </row>
    <row r="6600" spans="13:28" s="308" customFormat="1" x14ac:dyDescent="0.2">
      <c r="M6600" s="309"/>
      <c r="AB6600" s="310"/>
    </row>
    <row r="6601" spans="13:28" s="308" customFormat="1" x14ac:dyDescent="0.2">
      <c r="M6601" s="309"/>
      <c r="AB6601" s="310"/>
    </row>
    <row r="6602" spans="13:28" s="308" customFormat="1" x14ac:dyDescent="0.2">
      <c r="M6602" s="309"/>
      <c r="AB6602" s="310"/>
    </row>
    <row r="6603" spans="13:28" s="308" customFormat="1" x14ac:dyDescent="0.2">
      <c r="M6603" s="309"/>
      <c r="AB6603" s="310"/>
    </row>
    <row r="6604" spans="13:28" s="308" customFormat="1" x14ac:dyDescent="0.2">
      <c r="M6604" s="309"/>
      <c r="AB6604" s="310"/>
    </row>
    <row r="6605" spans="13:28" s="308" customFormat="1" x14ac:dyDescent="0.2">
      <c r="M6605" s="309"/>
      <c r="AB6605" s="310"/>
    </row>
    <row r="6606" spans="13:28" s="308" customFormat="1" x14ac:dyDescent="0.2">
      <c r="M6606" s="309"/>
      <c r="AB6606" s="310"/>
    </row>
    <row r="6607" spans="13:28" s="308" customFormat="1" x14ac:dyDescent="0.2">
      <c r="M6607" s="309"/>
      <c r="AB6607" s="310"/>
    </row>
    <row r="6608" spans="13:28" s="308" customFormat="1" x14ac:dyDescent="0.2">
      <c r="M6608" s="309"/>
      <c r="AB6608" s="310"/>
    </row>
    <row r="6609" spans="13:28" s="308" customFormat="1" x14ac:dyDescent="0.2">
      <c r="M6609" s="309"/>
      <c r="AB6609" s="310"/>
    </row>
    <row r="6610" spans="13:28" s="308" customFormat="1" x14ac:dyDescent="0.2">
      <c r="M6610" s="309"/>
      <c r="AB6610" s="310"/>
    </row>
    <row r="6611" spans="13:28" s="308" customFormat="1" x14ac:dyDescent="0.2">
      <c r="M6611" s="309"/>
      <c r="AB6611" s="310"/>
    </row>
    <row r="6612" spans="13:28" s="308" customFormat="1" x14ac:dyDescent="0.2">
      <c r="M6612" s="309"/>
      <c r="AB6612" s="310"/>
    </row>
    <row r="6613" spans="13:28" s="308" customFormat="1" x14ac:dyDescent="0.2">
      <c r="M6613" s="309"/>
      <c r="AB6613" s="310"/>
    </row>
    <row r="6614" spans="13:28" s="308" customFormat="1" x14ac:dyDescent="0.2">
      <c r="M6614" s="309"/>
      <c r="AB6614" s="310"/>
    </row>
    <row r="6615" spans="13:28" s="308" customFormat="1" x14ac:dyDescent="0.2">
      <c r="M6615" s="309"/>
      <c r="AB6615" s="310"/>
    </row>
    <row r="6616" spans="13:28" s="308" customFormat="1" x14ac:dyDescent="0.2">
      <c r="M6616" s="309"/>
      <c r="AB6616" s="310"/>
    </row>
    <row r="6617" spans="13:28" s="308" customFormat="1" x14ac:dyDescent="0.2">
      <c r="M6617" s="309"/>
      <c r="AB6617" s="310"/>
    </row>
    <row r="6618" spans="13:28" s="308" customFormat="1" x14ac:dyDescent="0.2">
      <c r="M6618" s="309"/>
      <c r="AB6618" s="310"/>
    </row>
    <row r="6619" spans="13:28" s="308" customFormat="1" x14ac:dyDescent="0.2">
      <c r="M6619" s="309"/>
      <c r="AB6619" s="310"/>
    </row>
    <row r="6620" spans="13:28" s="308" customFormat="1" x14ac:dyDescent="0.2">
      <c r="M6620" s="309"/>
      <c r="AB6620" s="310"/>
    </row>
    <row r="6621" spans="13:28" s="308" customFormat="1" x14ac:dyDescent="0.2">
      <c r="M6621" s="309"/>
      <c r="AB6621" s="310"/>
    </row>
    <row r="6622" spans="13:28" s="308" customFormat="1" x14ac:dyDescent="0.2">
      <c r="M6622" s="309"/>
      <c r="AB6622" s="310"/>
    </row>
    <row r="6623" spans="13:28" s="308" customFormat="1" x14ac:dyDescent="0.2">
      <c r="M6623" s="309"/>
      <c r="AB6623" s="310"/>
    </row>
    <row r="6624" spans="13:28" s="308" customFormat="1" x14ac:dyDescent="0.2">
      <c r="M6624" s="309"/>
      <c r="AB6624" s="310"/>
    </row>
    <row r="6625" spans="13:28" s="308" customFormat="1" x14ac:dyDescent="0.2">
      <c r="M6625" s="309"/>
      <c r="AB6625" s="310"/>
    </row>
    <row r="6626" spans="13:28" s="308" customFormat="1" x14ac:dyDescent="0.2">
      <c r="M6626" s="309"/>
      <c r="AB6626" s="310"/>
    </row>
    <row r="6627" spans="13:28" s="308" customFormat="1" x14ac:dyDescent="0.2">
      <c r="M6627" s="309"/>
      <c r="AB6627" s="310"/>
    </row>
    <row r="6628" spans="13:28" s="308" customFormat="1" x14ac:dyDescent="0.2">
      <c r="M6628" s="309"/>
      <c r="AB6628" s="310"/>
    </row>
    <row r="6629" spans="13:28" s="308" customFormat="1" x14ac:dyDescent="0.2">
      <c r="M6629" s="309"/>
      <c r="AB6629" s="310"/>
    </row>
    <row r="6630" spans="13:28" s="308" customFormat="1" x14ac:dyDescent="0.2">
      <c r="M6630" s="309"/>
      <c r="AB6630" s="310"/>
    </row>
    <row r="6631" spans="13:28" s="308" customFormat="1" x14ac:dyDescent="0.2">
      <c r="M6631" s="309"/>
      <c r="AB6631" s="310"/>
    </row>
    <row r="6632" spans="13:28" s="308" customFormat="1" x14ac:dyDescent="0.2">
      <c r="M6632" s="309"/>
      <c r="AB6632" s="310"/>
    </row>
    <row r="6633" spans="13:28" s="308" customFormat="1" x14ac:dyDescent="0.2">
      <c r="M6633" s="309"/>
      <c r="AB6633" s="310"/>
    </row>
    <row r="6634" spans="13:28" s="308" customFormat="1" x14ac:dyDescent="0.2">
      <c r="M6634" s="309"/>
      <c r="AB6634" s="310"/>
    </row>
    <row r="6635" spans="13:28" s="308" customFormat="1" x14ac:dyDescent="0.2">
      <c r="M6635" s="309"/>
      <c r="AB6635" s="310"/>
    </row>
    <row r="6636" spans="13:28" s="308" customFormat="1" x14ac:dyDescent="0.2">
      <c r="M6636" s="309"/>
      <c r="AB6636" s="310"/>
    </row>
    <row r="6637" spans="13:28" s="308" customFormat="1" x14ac:dyDescent="0.2">
      <c r="M6637" s="309"/>
      <c r="AB6637" s="310"/>
    </row>
    <row r="6638" spans="13:28" s="308" customFormat="1" x14ac:dyDescent="0.2">
      <c r="M6638" s="309"/>
      <c r="AB6638" s="310"/>
    </row>
    <row r="6639" spans="13:28" s="308" customFormat="1" x14ac:dyDescent="0.2">
      <c r="M6639" s="309"/>
      <c r="AB6639" s="310"/>
    </row>
    <row r="6640" spans="13:28" s="308" customFormat="1" x14ac:dyDescent="0.2">
      <c r="M6640" s="309"/>
      <c r="AB6640" s="310"/>
    </row>
    <row r="6641" spans="13:28" s="308" customFormat="1" x14ac:dyDescent="0.2">
      <c r="M6641" s="309"/>
      <c r="AB6641" s="310"/>
    </row>
    <row r="6642" spans="13:28" s="308" customFormat="1" x14ac:dyDescent="0.2">
      <c r="M6642" s="309"/>
      <c r="AB6642" s="310"/>
    </row>
    <row r="6643" spans="13:28" s="308" customFormat="1" x14ac:dyDescent="0.2">
      <c r="M6643" s="309"/>
      <c r="AB6643" s="310"/>
    </row>
    <row r="6644" spans="13:28" s="308" customFormat="1" x14ac:dyDescent="0.2">
      <c r="M6644" s="309"/>
      <c r="AB6644" s="310"/>
    </row>
    <row r="6645" spans="13:28" s="308" customFormat="1" x14ac:dyDescent="0.2">
      <c r="M6645" s="309"/>
      <c r="AB6645" s="310"/>
    </row>
    <row r="6646" spans="13:28" s="308" customFormat="1" x14ac:dyDescent="0.2">
      <c r="M6646" s="309"/>
      <c r="AB6646" s="310"/>
    </row>
    <row r="6647" spans="13:28" s="308" customFormat="1" x14ac:dyDescent="0.2">
      <c r="M6647" s="309"/>
      <c r="AB6647" s="310"/>
    </row>
    <row r="6648" spans="13:28" s="308" customFormat="1" x14ac:dyDescent="0.2">
      <c r="M6648" s="309"/>
      <c r="AB6648" s="310"/>
    </row>
    <row r="6649" spans="13:28" s="308" customFormat="1" x14ac:dyDescent="0.2">
      <c r="M6649" s="309"/>
      <c r="AB6649" s="310"/>
    </row>
    <row r="6650" spans="13:28" s="308" customFormat="1" x14ac:dyDescent="0.2">
      <c r="M6650" s="309"/>
      <c r="AB6650" s="310"/>
    </row>
    <row r="6651" spans="13:28" s="308" customFormat="1" x14ac:dyDescent="0.2">
      <c r="M6651" s="309"/>
      <c r="AB6651" s="310"/>
    </row>
    <row r="6652" spans="13:28" s="308" customFormat="1" x14ac:dyDescent="0.2">
      <c r="M6652" s="309"/>
      <c r="AB6652" s="310"/>
    </row>
    <row r="6653" spans="13:28" s="308" customFormat="1" x14ac:dyDescent="0.2">
      <c r="M6653" s="309"/>
      <c r="AB6653" s="310"/>
    </row>
    <row r="6654" spans="13:28" s="308" customFormat="1" x14ac:dyDescent="0.2">
      <c r="M6654" s="309"/>
      <c r="AB6654" s="310"/>
    </row>
    <row r="6655" spans="13:28" s="308" customFormat="1" x14ac:dyDescent="0.2">
      <c r="M6655" s="309"/>
      <c r="AB6655" s="310"/>
    </row>
    <row r="6656" spans="13:28" s="308" customFormat="1" x14ac:dyDescent="0.2">
      <c r="M6656" s="309"/>
      <c r="AB6656" s="310"/>
    </row>
    <row r="6657" spans="13:28" s="308" customFormat="1" x14ac:dyDescent="0.2">
      <c r="M6657" s="309"/>
      <c r="AB6657" s="310"/>
    </row>
    <row r="6658" spans="13:28" s="308" customFormat="1" x14ac:dyDescent="0.2">
      <c r="M6658" s="309"/>
      <c r="AB6658" s="310"/>
    </row>
    <row r="6659" spans="13:28" s="308" customFormat="1" x14ac:dyDescent="0.2">
      <c r="M6659" s="309"/>
      <c r="AB6659" s="310"/>
    </row>
    <row r="6660" spans="13:28" s="308" customFormat="1" x14ac:dyDescent="0.2">
      <c r="M6660" s="309"/>
      <c r="AB6660" s="310"/>
    </row>
    <row r="6661" spans="13:28" s="308" customFormat="1" x14ac:dyDescent="0.2">
      <c r="M6661" s="309"/>
      <c r="AB6661" s="310"/>
    </row>
    <row r="6662" spans="13:28" s="308" customFormat="1" x14ac:dyDescent="0.2">
      <c r="M6662" s="309"/>
      <c r="AB6662" s="310"/>
    </row>
    <row r="6663" spans="13:28" s="308" customFormat="1" x14ac:dyDescent="0.2">
      <c r="M6663" s="309"/>
      <c r="AB6663" s="310"/>
    </row>
    <row r="6664" spans="13:28" s="308" customFormat="1" x14ac:dyDescent="0.2">
      <c r="M6664" s="309"/>
      <c r="AB6664" s="310"/>
    </row>
    <row r="6665" spans="13:28" s="308" customFormat="1" x14ac:dyDescent="0.2">
      <c r="M6665" s="309"/>
      <c r="AB6665" s="310"/>
    </row>
    <row r="6666" spans="13:28" s="308" customFormat="1" x14ac:dyDescent="0.2">
      <c r="M6666" s="309"/>
      <c r="AB6666" s="310"/>
    </row>
    <row r="6667" spans="13:28" s="308" customFormat="1" x14ac:dyDescent="0.2">
      <c r="M6667" s="309"/>
      <c r="AB6667" s="310"/>
    </row>
    <row r="6668" spans="13:28" s="308" customFormat="1" x14ac:dyDescent="0.2">
      <c r="M6668" s="309"/>
      <c r="AB6668" s="310"/>
    </row>
    <row r="6669" spans="13:28" s="308" customFormat="1" x14ac:dyDescent="0.2">
      <c r="M6669" s="309"/>
      <c r="AB6669" s="310"/>
    </row>
    <row r="6670" spans="13:28" s="308" customFormat="1" x14ac:dyDescent="0.2">
      <c r="M6670" s="309"/>
      <c r="AB6670" s="310"/>
    </row>
    <row r="6671" spans="13:28" s="308" customFormat="1" x14ac:dyDescent="0.2">
      <c r="M6671" s="309"/>
      <c r="AB6671" s="310"/>
    </row>
    <row r="6672" spans="13:28" s="308" customFormat="1" x14ac:dyDescent="0.2">
      <c r="M6672" s="309"/>
      <c r="AB6672" s="310"/>
    </row>
    <row r="6673" spans="13:28" s="308" customFormat="1" x14ac:dyDescent="0.2">
      <c r="M6673" s="309"/>
      <c r="AB6673" s="310"/>
    </row>
    <row r="6674" spans="13:28" s="308" customFormat="1" x14ac:dyDescent="0.2">
      <c r="M6674" s="309"/>
      <c r="AB6674" s="310"/>
    </row>
    <row r="6675" spans="13:28" s="308" customFormat="1" x14ac:dyDescent="0.2">
      <c r="M6675" s="309"/>
      <c r="AB6675" s="310"/>
    </row>
    <row r="6676" spans="13:28" s="308" customFormat="1" x14ac:dyDescent="0.2">
      <c r="M6676" s="309"/>
      <c r="AB6676" s="310"/>
    </row>
    <row r="6677" spans="13:28" s="308" customFormat="1" x14ac:dyDescent="0.2">
      <c r="M6677" s="309"/>
      <c r="AB6677" s="310"/>
    </row>
    <row r="6678" spans="13:28" s="308" customFormat="1" x14ac:dyDescent="0.2">
      <c r="M6678" s="309"/>
      <c r="AB6678" s="310"/>
    </row>
    <row r="6679" spans="13:28" s="308" customFormat="1" x14ac:dyDescent="0.2">
      <c r="M6679" s="309"/>
      <c r="AB6679" s="310"/>
    </row>
    <row r="6680" spans="13:28" s="308" customFormat="1" x14ac:dyDescent="0.2">
      <c r="M6680" s="309"/>
      <c r="AB6680" s="310"/>
    </row>
    <row r="6681" spans="13:28" s="308" customFormat="1" x14ac:dyDescent="0.2">
      <c r="M6681" s="309"/>
      <c r="AB6681" s="310"/>
    </row>
    <row r="6682" spans="13:28" s="308" customFormat="1" x14ac:dyDescent="0.2">
      <c r="M6682" s="309"/>
      <c r="AB6682" s="310"/>
    </row>
    <row r="6683" spans="13:28" s="308" customFormat="1" x14ac:dyDescent="0.2">
      <c r="M6683" s="309"/>
      <c r="AB6683" s="310"/>
    </row>
    <row r="6684" spans="13:28" s="308" customFormat="1" x14ac:dyDescent="0.2">
      <c r="M6684" s="309"/>
      <c r="AB6684" s="310"/>
    </row>
    <row r="6685" spans="13:28" s="308" customFormat="1" x14ac:dyDescent="0.2">
      <c r="M6685" s="309"/>
      <c r="AB6685" s="310"/>
    </row>
    <row r="6686" spans="13:28" s="308" customFormat="1" x14ac:dyDescent="0.2">
      <c r="M6686" s="309"/>
      <c r="AB6686" s="310"/>
    </row>
    <row r="6687" spans="13:28" s="308" customFormat="1" x14ac:dyDescent="0.2">
      <c r="M6687" s="309"/>
      <c r="AB6687" s="310"/>
    </row>
    <row r="6688" spans="13:28" s="308" customFormat="1" x14ac:dyDescent="0.2">
      <c r="M6688" s="309"/>
      <c r="AB6688" s="310"/>
    </row>
    <row r="6689" spans="13:28" s="308" customFormat="1" x14ac:dyDescent="0.2">
      <c r="M6689" s="309"/>
      <c r="AB6689" s="310"/>
    </row>
    <row r="6690" spans="13:28" s="308" customFormat="1" x14ac:dyDescent="0.2">
      <c r="M6690" s="309"/>
      <c r="AB6690" s="310"/>
    </row>
    <row r="6691" spans="13:28" s="308" customFormat="1" x14ac:dyDescent="0.2">
      <c r="M6691" s="309"/>
      <c r="AB6691" s="310"/>
    </row>
    <row r="6692" spans="13:28" s="308" customFormat="1" x14ac:dyDescent="0.2">
      <c r="M6692" s="309"/>
      <c r="AB6692" s="310"/>
    </row>
    <row r="6693" spans="13:28" s="308" customFormat="1" x14ac:dyDescent="0.2">
      <c r="M6693" s="309"/>
      <c r="AB6693" s="310"/>
    </row>
    <row r="6694" spans="13:28" s="308" customFormat="1" x14ac:dyDescent="0.2">
      <c r="M6694" s="309"/>
      <c r="AB6694" s="310"/>
    </row>
    <row r="6695" spans="13:28" s="308" customFormat="1" x14ac:dyDescent="0.2">
      <c r="M6695" s="309"/>
      <c r="AB6695" s="310"/>
    </row>
    <row r="6696" spans="13:28" s="308" customFormat="1" x14ac:dyDescent="0.2">
      <c r="M6696" s="309"/>
      <c r="AB6696" s="310"/>
    </row>
    <row r="6697" spans="13:28" s="308" customFormat="1" x14ac:dyDescent="0.2">
      <c r="M6697" s="309"/>
      <c r="AB6697" s="310"/>
    </row>
    <row r="6698" spans="13:28" s="308" customFormat="1" x14ac:dyDescent="0.2">
      <c r="M6698" s="309"/>
      <c r="AB6698" s="310"/>
    </row>
    <row r="6699" spans="13:28" s="308" customFormat="1" x14ac:dyDescent="0.2">
      <c r="M6699" s="309"/>
      <c r="AB6699" s="310"/>
    </row>
    <row r="6700" spans="13:28" s="308" customFormat="1" x14ac:dyDescent="0.2">
      <c r="M6700" s="309"/>
      <c r="AB6700" s="310"/>
    </row>
    <row r="6701" spans="13:28" s="308" customFormat="1" x14ac:dyDescent="0.2">
      <c r="M6701" s="309"/>
      <c r="AB6701" s="310"/>
    </row>
    <row r="6702" spans="13:28" s="308" customFormat="1" x14ac:dyDescent="0.2">
      <c r="M6702" s="309"/>
      <c r="AB6702" s="310"/>
    </row>
    <row r="6703" spans="13:28" s="308" customFormat="1" x14ac:dyDescent="0.2">
      <c r="M6703" s="309"/>
      <c r="AB6703" s="310"/>
    </row>
    <row r="6704" spans="13:28" s="308" customFormat="1" x14ac:dyDescent="0.2">
      <c r="M6704" s="309"/>
      <c r="AB6704" s="310"/>
    </row>
    <row r="6705" spans="13:28" s="308" customFormat="1" x14ac:dyDescent="0.2">
      <c r="M6705" s="309"/>
      <c r="AB6705" s="310"/>
    </row>
    <row r="6706" spans="13:28" s="308" customFormat="1" x14ac:dyDescent="0.2">
      <c r="M6706" s="309"/>
      <c r="AB6706" s="310"/>
    </row>
    <row r="6707" spans="13:28" s="308" customFormat="1" x14ac:dyDescent="0.2">
      <c r="M6707" s="309"/>
      <c r="AB6707" s="310"/>
    </row>
    <row r="6708" spans="13:28" s="308" customFormat="1" x14ac:dyDescent="0.2">
      <c r="M6708" s="309"/>
      <c r="AB6708" s="310"/>
    </row>
    <row r="6709" spans="13:28" s="308" customFormat="1" x14ac:dyDescent="0.2">
      <c r="M6709" s="309"/>
      <c r="AB6709" s="310"/>
    </row>
    <row r="6710" spans="13:28" s="308" customFormat="1" x14ac:dyDescent="0.2">
      <c r="M6710" s="309"/>
      <c r="AB6710" s="310"/>
    </row>
    <row r="6711" spans="13:28" s="308" customFormat="1" x14ac:dyDescent="0.2">
      <c r="M6711" s="309"/>
      <c r="AB6711" s="310"/>
    </row>
    <row r="6712" spans="13:28" s="308" customFormat="1" x14ac:dyDescent="0.2">
      <c r="M6712" s="309"/>
      <c r="AB6712" s="310"/>
    </row>
    <row r="6713" spans="13:28" s="308" customFormat="1" x14ac:dyDescent="0.2">
      <c r="M6713" s="309"/>
      <c r="AB6713" s="310"/>
    </row>
    <row r="6714" spans="13:28" s="308" customFormat="1" x14ac:dyDescent="0.2">
      <c r="M6714" s="309"/>
      <c r="AB6714" s="310"/>
    </row>
    <row r="6715" spans="13:28" s="308" customFormat="1" x14ac:dyDescent="0.2">
      <c r="M6715" s="309"/>
      <c r="AB6715" s="310"/>
    </row>
    <row r="6716" spans="13:28" s="308" customFormat="1" x14ac:dyDescent="0.2">
      <c r="M6716" s="309"/>
      <c r="AB6716" s="310"/>
    </row>
    <row r="6717" spans="13:28" s="308" customFormat="1" x14ac:dyDescent="0.2">
      <c r="M6717" s="309"/>
      <c r="AB6717" s="310"/>
    </row>
    <row r="6718" spans="13:28" s="308" customFormat="1" x14ac:dyDescent="0.2">
      <c r="M6718" s="309"/>
      <c r="AB6718" s="310"/>
    </row>
    <row r="6719" spans="13:28" s="308" customFormat="1" x14ac:dyDescent="0.2">
      <c r="M6719" s="309"/>
      <c r="AB6719" s="310"/>
    </row>
    <row r="6720" spans="13:28" s="308" customFormat="1" x14ac:dyDescent="0.2">
      <c r="M6720" s="309"/>
      <c r="AB6720" s="310"/>
    </row>
    <row r="6721" spans="13:28" s="308" customFormat="1" x14ac:dyDescent="0.2">
      <c r="M6721" s="309"/>
      <c r="AB6721" s="310"/>
    </row>
    <row r="6722" spans="13:28" s="308" customFormat="1" x14ac:dyDescent="0.2">
      <c r="M6722" s="309"/>
      <c r="AB6722" s="310"/>
    </row>
    <row r="6723" spans="13:28" s="308" customFormat="1" x14ac:dyDescent="0.2">
      <c r="M6723" s="309"/>
      <c r="AB6723" s="310"/>
    </row>
    <row r="6724" spans="13:28" s="308" customFormat="1" x14ac:dyDescent="0.2">
      <c r="M6724" s="309"/>
      <c r="AB6724" s="310"/>
    </row>
    <row r="6725" spans="13:28" s="308" customFormat="1" x14ac:dyDescent="0.2">
      <c r="M6725" s="309"/>
      <c r="AB6725" s="310"/>
    </row>
    <row r="6726" spans="13:28" s="308" customFormat="1" x14ac:dyDescent="0.2">
      <c r="M6726" s="309"/>
      <c r="AB6726" s="310"/>
    </row>
    <row r="6727" spans="13:28" s="308" customFormat="1" x14ac:dyDescent="0.2">
      <c r="M6727" s="309"/>
      <c r="AB6727" s="310"/>
    </row>
    <row r="6728" spans="13:28" s="308" customFormat="1" x14ac:dyDescent="0.2">
      <c r="M6728" s="309"/>
      <c r="AB6728" s="310"/>
    </row>
    <row r="6729" spans="13:28" s="308" customFormat="1" x14ac:dyDescent="0.2">
      <c r="M6729" s="309"/>
      <c r="AB6729" s="310"/>
    </row>
    <row r="6730" spans="13:28" s="308" customFormat="1" x14ac:dyDescent="0.2">
      <c r="M6730" s="309"/>
      <c r="AB6730" s="310"/>
    </row>
    <row r="6731" spans="13:28" s="308" customFormat="1" x14ac:dyDescent="0.2">
      <c r="M6731" s="309"/>
      <c r="AB6731" s="310"/>
    </row>
    <row r="6732" spans="13:28" s="308" customFormat="1" x14ac:dyDescent="0.2">
      <c r="M6732" s="309"/>
      <c r="AB6732" s="310"/>
    </row>
    <row r="6733" spans="13:28" s="308" customFormat="1" x14ac:dyDescent="0.2">
      <c r="M6733" s="309"/>
      <c r="AB6733" s="310"/>
    </row>
    <row r="6734" spans="13:28" s="308" customFormat="1" x14ac:dyDescent="0.2">
      <c r="M6734" s="309"/>
      <c r="AB6734" s="310"/>
    </row>
    <row r="6735" spans="13:28" s="308" customFormat="1" x14ac:dyDescent="0.2">
      <c r="M6735" s="309"/>
      <c r="AB6735" s="310"/>
    </row>
    <row r="6736" spans="13:28" s="308" customFormat="1" x14ac:dyDescent="0.2">
      <c r="M6736" s="309"/>
      <c r="AB6736" s="310"/>
    </row>
    <row r="6737" spans="13:28" s="308" customFormat="1" x14ac:dyDescent="0.2">
      <c r="M6737" s="309"/>
      <c r="AB6737" s="310"/>
    </row>
    <row r="6738" spans="13:28" s="308" customFormat="1" x14ac:dyDescent="0.2">
      <c r="M6738" s="309"/>
      <c r="AB6738" s="310"/>
    </row>
    <row r="6739" spans="13:28" s="308" customFormat="1" x14ac:dyDescent="0.2">
      <c r="M6739" s="309"/>
      <c r="AB6739" s="310"/>
    </row>
    <row r="6740" spans="13:28" s="308" customFormat="1" x14ac:dyDescent="0.2">
      <c r="M6740" s="309"/>
      <c r="AB6740" s="310"/>
    </row>
    <row r="6741" spans="13:28" s="308" customFormat="1" x14ac:dyDescent="0.2">
      <c r="M6741" s="309"/>
      <c r="AB6741" s="310"/>
    </row>
    <row r="6742" spans="13:28" s="308" customFormat="1" x14ac:dyDescent="0.2">
      <c r="M6742" s="309"/>
      <c r="AB6742" s="310"/>
    </row>
    <row r="6743" spans="13:28" s="308" customFormat="1" x14ac:dyDescent="0.2">
      <c r="M6743" s="309"/>
      <c r="AB6743" s="310"/>
    </row>
    <row r="6744" spans="13:28" s="308" customFormat="1" x14ac:dyDescent="0.2">
      <c r="M6744" s="309"/>
      <c r="AB6744" s="310"/>
    </row>
    <row r="6745" spans="13:28" s="308" customFormat="1" x14ac:dyDescent="0.2">
      <c r="M6745" s="309"/>
      <c r="AB6745" s="310"/>
    </row>
    <row r="6746" spans="13:28" s="308" customFormat="1" x14ac:dyDescent="0.2">
      <c r="M6746" s="309"/>
      <c r="AB6746" s="310"/>
    </row>
    <row r="6747" spans="13:28" s="308" customFormat="1" x14ac:dyDescent="0.2">
      <c r="M6747" s="309"/>
      <c r="AB6747" s="310"/>
    </row>
    <row r="6748" spans="13:28" s="308" customFormat="1" x14ac:dyDescent="0.2">
      <c r="M6748" s="309"/>
      <c r="AB6748" s="310"/>
    </row>
    <row r="6749" spans="13:28" s="308" customFormat="1" x14ac:dyDescent="0.2">
      <c r="M6749" s="309"/>
      <c r="AB6749" s="310"/>
    </row>
    <row r="6750" spans="13:28" s="308" customFormat="1" x14ac:dyDescent="0.2">
      <c r="M6750" s="309"/>
      <c r="AB6750" s="310"/>
    </row>
    <row r="6751" spans="13:28" s="308" customFormat="1" x14ac:dyDescent="0.2">
      <c r="M6751" s="309"/>
      <c r="AB6751" s="310"/>
    </row>
    <row r="6752" spans="13:28" s="308" customFormat="1" x14ac:dyDescent="0.2">
      <c r="M6752" s="309"/>
      <c r="AB6752" s="310"/>
    </row>
    <row r="6753" spans="13:28" s="308" customFormat="1" x14ac:dyDescent="0.2">
      <c r="M6753" s="309"/>
      <c r="AB6753" s="310"/>
    </row>
    <row r="6754" spans="13:28" s="308" customFormat="1" x14ac:dyDescent="0.2">
      <c r="M6754" s="309"/>
      <c r="AB6754" s="310"/>
    </row>
    <row r="6755" spans="13:28" s="308" customFormat="1" x14ac:dyDescent="0.2">
      <c r="M6755" s="309"/>
      <c r="AB6755" s="310"/>
    </row>
    <row r="6756" spans="13:28" s="308" customFormat="1" x14ac:dyDescent="0.2">
      <c r="M6756" s="309"/>
      <c r="AB6756" s="310"/>
    </row>
    <row r="6757" spans="13:28" s="308" customFormat="1" x14ac:dyDescent="0.2">
      <c r="M6757" s="309"/>
      <c r="AB6757" s="310"/>
    </row>
    <row r="6758" spans="13:28" s="308" customFormat="1" x14ac:dyDescent="0.2">
      <c r="M6758" s="309"/>
      <c r="AB6758" s="310"/>
    </row>
    <row r="6759" spans="13:28" s="308" customFormat="1" x14ac:dyDescent="0.2">
      <c r="M6759" s="309"/>
      <c r="AB6759" s="310"/>
    </row>
    <row r="6760" spans="13:28" s="308" customFormat="1" x14ac:dyDescent="0.2">
      <c r="M6760" s="309"/>
      <c r="AB6760" s="310"/>
    </row>
    <row r="6761" spans="13:28" s="308" customFormat="1" x14ac:dyDescent="0.2">
      <c r="M6761" s="309"/>
      <c r="AB6761" s="310"/>
    </row>
    <row r="6762" spans="13:28" s="308" customFormat="1" x14ac:dyDescent="0.2">
      <c r="M6762" s="309"/>
      <c r="AB6762" s="310"/>
    </row>
    <row r="6763" spans="13:28" s="308" customFormat="1" x14ac:dyDescent="0.2">
      <c r="M6763" s="309"/>
      <c r="AB6763" s="310"/>
    </row>
    <row r="6764" spans="13:28" s="308" customFormat="1" x14ac:dyDescent="0.2">
      <c r="M6764" s="309"/>
      <c r="AB6764" s="310"/>
    </row>
    <row r="6765" spans="13:28" s="308" customFormat="1" x14ac:dyDescent="0.2">
      <c r="M6765" s="309"/>
      <c r="AB6765" s="310"/>
    </row>
    <row r="6766" spans="13:28" s="308" customFormat="1" x14ac:dyDescent="0.2">
      <c r="M6766" s="309"/>
      <c r="AB6766" s="310"/>
    </row>
    <row r="6767" spans="13:28" s="308" customFormat="1" x14ac:dyDescent="0.2">
      <c r="M6767" s="309"/>
      <c r="AB6767" s="310"/>
    </row>
    <row r="6768" spans="13:28" s="308" customFormat="1" x14ac:dyDescent="0.2">
      <c r="M6768" s="309"/>
      <c r="AB6768" s="310"/>
    </row>
    <row r="6769" spans="13:28" s="308" customFormat="1" x14ac:dyDescent="0.2">
      <c r="M6769" s="309"/>
      <c r="AB6769" s="310"/>
    </row>
    <row r="6770" spans="13:28" s="308" customFormat="1" x14ac:dyDescent="0.2">
      <c r="M6770" s="309"/>
      <c r="AB6770" s="310"/>
    </row>
    <row r="6771" spans="13:28" s="308" customFormat="1" x14ac:dyDescent="0.2">
      <c r="M6771" s="309"/>
      <c r="AB6771" s="310"/>
    </row>
    <row r="6772" spans="13:28" s="308" customFormat="1" x14ac:dyDescent="0.2">
      <c r="M6772" s="309"/>
      <c r="AB6772" s="310"/>
    </row>
    <row r="6773" spans="13:28" s="308" customFormat="1" x14ac:dyDescent="0.2">
      <c r="M6773" s="309"/>
      <c r="AB6773" s="310"/>
    </row>
    <row r="6774" spans="13:28" s="308" customFormat="1" x14ac:dyDescent="0.2">
      <c r="M6774" s="309"/>
      <c r="AB6774" s="310"/>
    </row>
    <row r="6775" spans="13:28" s="308" customFormat="1" x14ac:dyDescent="0.2">
      <c r="M6775" s="309"/>
      <c r="AB6775" s="310"/>
    </row>
    <row r="6776" spans="13:28" s="308" customFormat="1" x14ac:dyDescent="0.2">
      <c r="M6776" s="309"/>
      <c r="AB6776" s="310"/>
    </row>
    <row r="6777" spans="13:28" s="308" customFormat="1" x14ac:dyDescent="0.2">
      <c r="M6777" s="309"/>
      <c r="AB6777" s="310"/>
    </row>
    <row r="6778" spans="13:28" s="308" customFormat="1" x14ac:dyDescent="0.2">
      <c r="M6778" s="309"/>
      <c r="AB6778" s="310"/>
    </row>
    <row r="6779" spans="13:28" s="308" customFormat="1" x14ac:dyDescent="0.2">
      <c r="M6779" s="309"/>
      <c r="AB6779" s="310"/>
    </row>
    <row r="6780" spans="13:28" s="308" customFormat="1" x14ac:dyDescent="0.2">
      <c r="M6780" s="309"/>
      <c r="AB6780" s="310"/>
    </row>
    <row r="6781" spans="13:28" s="308" customFormat="1" x14ac:dyDescent="0.2">
      <c r="M6781" s="309"/>
      <c r="AB6781" s="310"/>
    </row>
    <row r="6782" spans="13:28" s="308" customFormat="1" x14ac:dyDescent="0.2">
      <c r="M6782" s="309"/>
      <c r="AB6782" s="310"/>
    </row>
    <row r="6783" spans="13:28" s="308" customFormat="1" x14ac:dyDescent="0.2">
      <c r="M6783" s="309"/>
      <c r="AB6783" s="310"/>
    </row>
    <row r="6784" spans="13:28" s="308" customFormat="1" x14ac:dyDescent="0.2">
      <c r="M6784" s="309"/>
      <c r="AB6784" s="310"/>
    </row>
    <row r="6785" spans="13:28" s="308" customFormat="1" x14ac:dyDescent="0.2">
      <c r="M6785" s="309"/>
      <c r="AB6785" s="310"/>
    </row>
    <row r="6786" spans="13:28" s="308" customFormat="1" x14ac:dyDescent="0.2">
      <c r="M6786" s="309"/>
      <c r="AB6786" s="310"/>
    </row>
    <row r="6787" spans="13:28" s="308" customFormat="1" x14ac:dyDescent="0.2">
      <c r="M6787" s="309"/>
      <c r="AB6787" s="310"/>
    </row>
    <row r="6788" spans="13:28" s="308" customFormat="1" x14ac:dyDescent="0.2">
      <c r="M6788" s="309"/>
      <c r="AB6788" s="310"/>
    </row>
    <row r="6789" spans="13:28" s="308" customFormat="1" x14ac:dyDescent="0.2">
      <c r="M6789" s="309"/>
      <c r="AB6789" s="310"/>
    </row>
    <row r="6790" spans="13:28" s="308" customFormat="1" x14ac:dyDescent="0.2">
      <c r="M6790" s="309"/>
      <c r="AB6790" s="310"/>
    </row>
    <row r="6791" spans="13:28" s="308" customFormat="1" x14ac:dyDescent="0.2">
      <c r="M6791" s="309"/>
      <c r="AB6791" s="310"/>
    </row>
    <row r="6792" spans="13:28" s="308" customFormat="1" x14ac:dyDescent="0.2">
      <c r="M6792" s="309"/>
      <c r="AB6792" s="310"/>
    </row>
    <row r="6793" spans="13:28" s="308" customFormat="1" x14ac:dyDescent="0.2">
      <c r="M6793" s="309"/>
      <c r="AB6793" s="310"/>
    </row>
    <row r="6794" spans="13:28" s="308" customFormat="1" x14ac:dyDescent="0.2">
      <c r="M6794" s="309"/>
      <c r="AB6794" s="310"/>
    </row>
    <row r="6795" spans="13:28" s="308" customFormat="1" x14ac:dyDescent="0.2">
      <c r="M6795" s="309"/>
      <c r="AB6795" s="310"/>
    </row>
    <row r="6796" spans="13:28" s="308" customFormat="1" x14ac:dyDescent="0.2">
      <c r="M6796" s="309"/>
      <c r="AB6796" s="310"/>
    </row>
    <row r="6797" spans="13:28" s="308" customFormat="1" x14ac:dyDescent="0.2">
      <c r="M6797" s="309"/>
      <c r="AB6797" s="310"/>
    </row>
    <row r="6798" spans="13:28" s="308" customFormat="1" x14ac:dyDescent="0.2">
      <c r="M6798" s="309"/>
      <c r="AB6798" s="310"/>
    </row>
    <row r="6799" spans="13:28" s="308" customFormat="1" x14ac:dyDescent="0.2">
      <c r="M6799" s="309"/>
      <c r="AB6799" s="310"/>
    </row>
    <row r="6800" spans="13:28" s="308" customFormat="1" x14ac:dyDescent="0.2">
      <c r="M6800" s="309"/>
      <c r="AB6800" s="310"/>
    </row>
    <row r="6801" spans="13:28" s="308" customFormat="1" x14ac:dyDescent="0.2">
      <c r="M6801" s="309"/>
      <c r="AB6801" s="310"/>
    </row>
    <row r="6802" spans="13:28" s="308" customFormat="1" x14ac:dyDescent="0.2">
      <c r="M6802" s="309"/>
      <c r="AB6802" s="310"/>
    </row>
    <row r="6803" spans="13:28" s="308" customFormat="1" x14ac:dyDescent="0.2">
      <c r="M6803" s="309"/>
      <c r="AB6803" s="310"/>
    </row>
    <row r="6804" spans="13:28" s="308" customFormat="1" x14ac:dyDescent="0.2">
      <c r="M6804" s="309"/>
      <c r="AB6804" s="310"/>
    </row>
    <row r="6805" spans="13:28" s="308" customFormat="1" x14ac:dyDescent="0.2">
      <c r="M6805" s="309"/>
      <c r="AB6805" s="310"/>
    </row>
    <row r="6806" spans="13:28" s="308" customFormat="1" x14ac:dyDescent="0.2">
      <c r="M6806" s="309"/>
      <c r="AB6806" s="310"/>
    </row>
    <row r="6807" spans="13:28" s="308" customFormat="1" x14ac:dyDescent="0.2">
      <c r="M6807" s="309"/>
      <c r="AB6807" s="310"/>
    </row>
    <row r="6808" spans="13:28" s="308" customFormat="1" x14ac:dyDescent="0.2">
      <c r="M6808" s="309"/>
      <c r="AB6808" s="310"/>
    </row>
    <row r="6809" spans="13:28" s="308" customFormat="1" x14ac:dyDescent="0.2">
      <c r="M6809" s="309"/>
      <c r="AB6809" s="310"/>
    </row>
    <row r="6810" spans="13:28" s="308" customFormat="1" x14ac:dyDescent="0.2">
      <c r="M6810" s="309"/>
      <c r="AB6810" s="310"/>
    </row>
    <row r="6811" spans="13:28" s="308" customFormat="1" x14ac:dyDescent="0.2">
      <c r="M6811" s="309"/>
      <c r="AB6811" s="310"/>
    </row>
    <row r="6812" spans="13:28" s="308" customFormat="1" x14ac:dyDescent="0.2">
      <c r="M6812" s="309"/>
      <c r="AB6812" s="310"/>
    </row>
    <row r="6813" spans="13:28" s="308" customFormat="1" x14ac:dyDescent="0.2">
      <c r="M6813" s="309"/>
      <c r="AB6813" s="310"/>
    </row>
    <row r="6814" spans="13:28" s="308" customFormat="1" x14ac:dyDescent="0.2">
      <c r="M6814" s="309"/>
      <c r="AB6814" s="310"/>
    </row>
    <row r="6815" spans="13:28" s="308" customFormat="1" x14ac:dyDescent="0.2">
      <c r="M6815" s="309"/>
      <c r="AB6815" s="310"/>
    </row>
    <row r="6816" spans="13:28" s="308" customFormat="1" x14ac:dyDescent="0.2">
      <c r="M6816" s="309"/>
      <c r="AB6816" s="310"/>
    </row>
    <row r="6817" spans="13:28" s="308" customFormat="1" x14ac:dyDescent="0.2">
      <c r="M6817" s="309"/>
      <c r="AB6817" s="310"/>
    </row>
    <row r="6818" spans="13:28" s="308" customFormat="1" x14ac:dyDescent="0.2">
      <c r="M6818" s="309"/>
      <c r="AB6818" s="310"/>
    </row>
    <row r="6819" spans="13:28" s="308" customFormat="1" x14ac:dyDescent="0.2">
      <c r="M6819" s="309"/>
      <c r="AB6819" s="310"/>
    </row>
    <row r="6820" spans="13:28" s="308" customFormat="1" x14ac:dyDescent="0.2">
      <c r="M6820" s="309"/>
      <c r="AB6820" s="310"/>
    </row>
    <row r="6821" spans="13:28" s="308" customFormat="1" x14ac:dyDescent="0.2">
      <c r="M6821" s="309"/>
      <c r="AB6821" s="310"/>
    </row>
    <row r="6822" spans="13:28" s="308" customFormat="1" x14ac:dyDescent="0.2">
      <c r="M6822" s="309"/>
      <c r="AB6822" s="310"/>
    </row>
    <row r="6823" spans="13:28" s="308" customFormat="1" x14ac:dyDescent="0.2">
      <c r="M6823" s="309"/>
      <c r="AB6823" s="310"/>
    </row>
    <row r="6824" spans="13:28" s="308" customFormat="1" x14ac:dyDescent="0.2">
      <c r="M6824" s="309"/>
      <c r="AB6824" s="310"/>
    </row>
    <row r="6825" spans="13:28" s="308" customFormat="1" x14ac:dyDescent="0.2">
      <c r="M6825" s="309"/>
      <c r="AB6825" s="310"/>
    </row>
    <row r="6826" spans="13:28" s="308" customFormat="1" x14ac:dyDescent="0.2">
      <c r="M6826" s="309"/>
      <c r="AB6826" s="310"/>
    </row>
    <row r="6827" spans="13:28" s="308" customFormat="1" x14ac:dyDescent="0.2">
      <c r="M6827" s="309"/>
      <c r="AB6827" s="310"/>
    </row>
    <row r="6828" spans="13:28" s="308" customFormat="1" x14ac:dyDescent="0.2">
      <c r="M6828" s="309"/>
      <c r="AB6828" s="310"/>
    </row>
    <row r="6829" spans="13:28" s="308" customFormat="1" x14ac:dyDescent="0.2">
      <c r="M6829" s="309"/>
      <c r="AB6829" s="310"/>
    </row>
    <row r="6830" spans="13:28" s="308" customFormat="1" x14ac:dyDescent="0.2">
      <c r="M6830" s="309"/>
      <c r="AB6830" s="310"/>
    </row>
    <row r="6831" spans="13:28" s="308" customFormat="1" x14ac:dyDescent="0.2">
      <c r="M6831" s="309"/>
      <c r="AB6831" s="310"/>
    </row>
    <row r="6832" spans="13:28" s="308" customFormat="1" x14ac:dyDescent="0.2">
      <c r="M6832" s="309"/>
      <c r="AB6832" s="310"/>
    </row>
    <row r="6833" spans="13:28" s="308" customFormat="1" x14ac:dyDescent="0.2">
      <c r="M6833" s="309"/>
      <c r="AB6833" s="310"/>
    </row>
    <row r="6834" spans="13:28" s="308" customFormat="1" x14ac:dyDescent="0.2">
      <c r="M6834" s="309"/>
      <c r="AB6834" s="310"/>
    </row>
    <row r="6835" spans="13:28" s="308" customFormat="1" x14ac:dyDescent="0.2">
      <c r="M6835" s="309"/>
      <c r="AB6835" s="310"/>
    </row>
    <row r="6836" spans="13:28" s="308" customFormat="1" x14ac:dyDescent="0.2">
      <c r="M6836" s="309"/>
      <c r="AB6836" s="310"/>
    </row>
    <row r="6837" spans="13:28" s="308" customFormat="1" x14ac:dyDescent="0.2">
      <c r="M6837" s="309"/>
      <c r="AB6837" s="310"/>
    </row>
    <row r="6838" spans="13:28" s="308" customFormat="1" x14ac:dyDescent="0.2">
      <c r="M6838" s="309"/>
      <c r="AB6838" s="310"/>
    </row>
    <row r="6839" spans="13:28" s="308" customFormat="1" x14ac:dyDescent="0.2">
      <c r="M6839" s="309"/>
      <c r="AB6839" s="310"/>
    </row>
    <row r="6840" spans="13:28" s="308" customFormat="1" x14ac:dyDescent="0.2">
      <c r="M6840" s="309"/>
      <c r="AB6840" s="310"/>
    </row>
    <row r="6841" spans="13:28" s="308" customFormat="1" x14ac:dyDescent="0.2">
      <c r="M6841" s="309"/>
      <c r="AB6841" s="310"/>
    </row>
    <row r="6842" spans="13:28" s="308" customFormat="1" x14ac:dyDescent="0.2">
      <c r="M6842" s="309"/>
      <c r="AB6842" s="310"/>
    </row>
    <row r="6843" spans="13:28" s="308" customFormat="1" x14ac:dyDescent="0.2">
      <c r="M6843" s="309"/>
      <c r="AB6843" s="310"/>
    </row>
    <row r="6844" spans="13:28" s="308" customFormat="1" x14ac:dyDescent="0.2">
      <c r="M6844" s="309"/>
      <c r="AB6844" s="310"/>
    </row>
    <row r="6845" spans="13:28" s="308" customFormat="1" x14ac:dyDescent="0.2">
      <c r="M6845" s="309"/>
      <c r="AB6845" s="310"/>
    </row>
    <row r="6846" spans="13:28" s="308" customFormat="1" x14ac:dyDescent="0.2">
      <c r="M6846" s="309"/>
      <c r="AB6846" s="310"/>
    </row>
    <row r="6847" spans="13:28" s="308" customFormat="1" x14ac:dyDescent="0.2">
      <c r="M6847" s="309"/>
      <c r="AB6847" s="310"/>
    </row>
    <row r="6848" spans="13:28" s="308" customFormat="1" x14ac:dyDescent="0.2">
      <c r="M6848" s="309"/>
      <c r="AB6848" s="310"/>
    </row>
    <row r="6849" spans="13:28" s="308" customFormat="1" x14ac:dyDescent="0.2">
      <c r="M6849" s="309"/>
      <c r="AB6849" s="310"/>
    </row>
    <row r="6850" spans="13:28" s="308" customFormat="1" x14ac:dyDescent="0.2">
      <c r="M6850" s="309"/>
      <c r="AB6850" s="310"/>
    </row>
    <row r="6851" spans="13:28" s="308" customFormat="1" x14ac:dyDescent="0.2">
      <c r="M6851" s="309"/>
      <c r="AB6851" s="310"/>
    </row>
    <row r="6852" spans="13:28" s="308" customFormat="1" x14ac:dyDescent="0.2">
      <c r="M6852" s="309"/>
      <c r="AB6852" s="310"/>
    </row>
    <row r="6853" spans="13:28" s="308" customFormat="1" x14ac:dyDescent="0.2">
      <c r="M6853" s="309"/>
      <c r="AB6853" s="310"/>
    </row>
    <row r="6854" spans="13:28" s="308" customFormat="1" x14ac:dyDescent="0.2">
      <c r="M6854" s="309"/>
      <c r="AB6854" s="310"/>
    </row>
    <row r="6855" spans="13:28" s="308" customFormat="1" x14ac:dyDescent="0.2">
      <c r="M6855" s="309"/>
      <c r="AB6855" s="310"/>
    </row>
    <row r="6856" spans="13:28" s="308" customFormat="1" x14ac:dyDescent="0.2">
      <c r="M6856" s="309"/>
      <c r="AB6856" s="310"/>
    </row>
    <row r="6857" spans="13:28" s="308" customFormat="1" x14ac:dyDescent="0.2">
      <c r="M6857" s="309"/>
      <c r="AB6857" s="310"/>
    </row>
    <row r="6858" spans="13:28" s="308" customFormat="1" x14ac:dyDescent="0.2">
      <c r="M6858" s="309"/>
      <c r="AB6858" s="310"/>
    </row>
    <row r="6859" spans="13:28" s="308" customFormat="1" x14ac:dyDescent="0.2">
      <c r="M6859" s="309"/>
      <c r="AB6859" s="310"/>
    </row>
    <row r="6860" spans="13:28" s="308" customFormat="1" x14ac:dyDescent="0.2">
      <c r="M6860" s="309"/>
      <c r="AB6860" s="310"/>
    </row>
    <row r="6861" spans="13:28" s="308" customFormat="1" x14ac:dyDescent="0.2">
      <c r="M6861" s="309"/>
      <c r="AB6861" s="310"/>
    </row>
    <row r="6862" spans="13:28" s="308" customFormat="1" x14ac:dyDescent="0.2">
      <c r="M6862" s="309"/>
      <c r="AB6862" s="310"/>
    </row>
    <row r="6863" spans="13:28" s="308" customFormat="1" x14ac:dyDescent="0.2">
      <c r="M6863" s="309"/>
      <c r="AB6863" s="310"/>
    </row>
    <row r="6864" spans="13:28" s="308" customFormat="1" x14ac:dyDescent="0.2">
      <c r="M6864" s="309"/>
      <c r="AB6864" s="310"/>
    </row>
    <row r="6865" spans="13:28" s="308" customFormat="1" x14ac:dyDescent="0.2">
      <c r="M6865" s="309"/>
      <c r="AB6865" s="310"/>
    </row>
    <row r="6866" spans="13:28" s="308" customFormat="1" x14ac:dyDescent="0.2">
      <c r="M6866" s="309"/>
      <c r="AB6866" s="310"/>
    </row>
    <row r="6867" spans="13:28" s="308" customFormat="1" x14ac:dyDescent="0.2">
      <c r="M6867" s="309"/>
      <c r="AB6867" s="310"/>
    </row>
    <row r="6868" spans="13:28" s="308" customFormat="1" x14ac:dyDescent="0.2">
      <c r="M6868" s="309"/>
      <c r="AB6868" s="310"/>
    </row>
    <row r="6869" spans="13:28" s="308" customFormat="1" x14ac:dyDescent="0.2">
      <c r="M6869" s="309"/>
      <c r="AB6869" s="310"/>
    </row>
    <row r="6870" spans="13:28" s="308" customFormat="1" x14ac:dyDescent="0.2">
      <c r="M6870" s="309"/>
      <c r="AB6870" s="310"/>
    </row>
    <row r="6871" spans="13:28" s="308" customFormat="1" x14ac:dyDescent="0.2">
      <c r="M6871" s="309"/>
      <c r="AB6871" s="310"/>
    </row>
    <row r="6872" spans="13:28" s="308" customFormat="1" x14ac:dyDescent="0.2">
      <c r="M6872" s="309"/>
      <c r="AB6872" s="310"/>
    </row>
    <row r="6873" spans="13:28" s="308" customFormat="1" x14ac:dyDescent="0.2">
      <c r="M6873" s="309"/>
      <c r="AB6873" s="310"/>
    </row>
    <row r="6874" spans="13:28" s="308" customFormat="1" x14ac:dyDescent="0.2">
      <c r="M6874" s="309"/>
      <c r="AB6874" s="310"/>
    </row>
    <row r="6875" spans="13:28" s="308" customFormat="1" x14ac:dyDescent="0.2">
      <c r="M6875" s="309"/>
      <c r="AB6875" s="310"/>
    </row>
    <row r="6876" spans="13:28" s="308" customFormat="1" x14ac:dyDescent="0.2">
      <c r="M6876" s="309"/>
      <c r="AB6876" s="310"/>
    </row>
    <row r="6877" spans="13:28" s="308" customFormat="1" x14ac:dyDescent="0.2">
      <c r="M6877" s="309"/>
      <c r="AB6877" s="310"/>
    </row>
    <row r="6878" spans="13:28" s="308" customFormat="1" x14ac:dyDescent="0.2">
      <c r="M6878" s="309"/>
      <c r="AB6878" s="310"/>
    </row>
    <row r="6879" spans="13:28" s="308" customFormat="1" x14ac:dyDescent="0.2">
      <c r="M6879" s="309"/>
      <c r="AB6879" s="310"/>
    </row>
    <row r="6880" spans="13:28" s="308" customFormat="1" x14ac:dyDescent="0.2">
      <c r="M6880" s="309"/>
      <c r="AB6880" s="310"/>
    </row>
    <row r="6881" spans="13:28" s="308" customFormat="1" x14ac:dyDescent="0.2">
      <c r="M6881" s="309"/>
      <c r="AB6881" s="310"/>
    </row>
    <row r="6882" spans="13:28" s="308" customFormat="1" x14ac:dyDescent="0.2">
      <c r="M6882" s="309"/>
      <c r="AB6882" s="310"/>
    </row>
    <row r="6883" spans="13:28" s="308" customFormat="1" x14ac:dyDescent="0.2">
      <c r="M6883" s="309"/>
      <c r="AB6883" s="310"/>
    </row>
    <row r="6884" spans="13:28" s="308" customFormat="1" x14ac:dyDescent="0.2">
      <c r="M6884" s="309"/>
      <c r="AB6884" s="310"/>
    </row>
    <row r="6885" spans="13:28" s="308" customFormat="1" x14ac:dyDescent="0.2">
      <c r="M6885" s="309"/>
      <c r="AB6885" s="310"/>
    </row>
    <row r="6886" spans="13:28" s="308" customFormat="1" x14ac:dyDescent="0.2">
      <c r="M6886" s="309"/>
      <c r="AB6886" s="310"/>
    </row>
    <row r="6887" spans="13:28" s="308" customFormat="1" x14ac:dyDescent="0.2">
      <c r="M6887" s="309"/>
      <c r="AB6887" s="310"/>
    </row>
    <row r="6888" spans="13:28" s="308" customFormat="1" x14ac:dyDescent="0.2">
      <c r="M6888" s="309"/>
      <c r="AB6888" s="310"/>
    </row>
    <row r="6889" spans="13:28" s="308" customFormat="1" x14ac:dyDescent="0.2">
      <c r="M6889" s="309"/>
      <c r="AB6889" s="310"/>
    </row>
    <row r="6890" spans="13:28" s="308" customFormat="1" x14ac:dyDescent="0.2">
      <c r="M6890" s="309"/>
      <c r="AB6890" s="310"/>
    </row>
    <row r="6891" spans="13:28" s="308" customFormat="1" x14ac:dyDescent="0.2">
      <c r="M6891" s="309"/>
      <c r="AB6891" s="310"/>
    </row>
    <row r="6892" spans="13:28" s="308" customFormat="1" x14ac:dyDescent="0.2">
      <c r="M6892" s="309"/>
      <c r="AB6892" s="310"/>
    </row>
    <row r="6893" spans="13:28" s="308" customFormat="1" x14ac:dyDescent="0.2">
      <c r="M6893" s="309"/>
      <c r="AB6893" s="310"/>
    </row>
    <row r="6894" spans="13:28" s="308" customFormat="1" x14ac:dyDescent="0.2">
      <c r="M6894" s="309"/>
      <c r="AB6894" s="310"/>
    </row>
    <row r="6895" spans="13:28" s="308" customFormat="1" x14ac:dyDescent="0.2">
      <c r="M6895" s="309"/>
      <c r="AB6895" s="310"/>
    </row>
    <row r="6896" spans="13:28" s="308" customFormat="1" x14ac:dyDescent="0.2">
      <c r="M6896" s="309"/>
      <c r="AB6896" s="310"/>
    </row>
    <row r="6897" spans="13:28" s="308" customFormat="1" x14ac:dyDescent="0.2">
      <c r="M6897" s="309"/>
      <c r="AB6897" s="310"/>
    </row>
    <row r="6898" spans="13:28" s="308" customFormat="1" x14ac:dyDescent="0.2">
      <c r="M6898" s="309"/>
      <c r="AB6898" s="310"/>
    </row>
    <row r="6899" spans="13:28" s="308" customFormat="1" x14ac:dyDescent="0.2">
      <c r="M6899" s="309"/>
      <c r="AB6899" s="310"/>
    </row>
    <row r="6900" spans="13:28" s="308" customFormat="1" x14ac:dyDescent="0.2">
      <c r="M6900" s="309"/>
      <c r="AB6900" s="310"/>
    </row>
    <row r="6901" spans="13:28" s="308" customFormat="1" x14ac:dyDescent="0.2">
      <c r="M6901" s="309"/>
      <c r="AB6901" s="310"/>
    </row>
    <row r="6902" spans="13:28" s="308" customFormat="1" x14ac:dyDescent="0.2">
      <c r="M6902" s="309"/>
      <c r="AB6902" s="310"/>
    </row>
    <row r="6903" spans="13:28" s="308" customFormat="1" x14ac:dyDescent="0.2">
      <c r="M6903" s="309"/>
      <c r="AB6903" s="310"/>
    </row>
    <row r="6904" spans="13:28" s="308" customFormat="1" x14ac:dyDescent="0.2">
      <c r="M6904" s="309"/>
      <c r="AB6904" s="310"/>
    </row>
    <row r="6905" spans="13:28" s="308" customFormat="1" x14ac:dyDescent="0.2">
      <c r="M6905" s="309"/>
      <c r="AB6905" s="310"/>
    </row>
    <row r="6906" spans="13:28" s="308" customFormat="1" x14ac:dyDescent="0.2">
      <c r="M6906" s="309"/>
      <c r="AB6906" s="310"/>
    </row>
    <row r="6907" spans="13:28" s="308" customFormat="1" x14ac:dyDescent="0.2">
      <c r="M6907" s="309"/>
      <c r="AB6907" s="310"/>
    </row>
    <row r="6908" spans="13:28" s="308" customFormat="1" x14ac:dyDescent="0.2">
      <c r="M6908" s="309"/>
      <c r="AB6908" s="310"/>
    </row>
    <row r="6909" spans="13:28" s="308" customFormat="1" x14ac:dyDescent="0.2">
      <c r="M6909" s="309"/>
      <c r="AB6909" s="310"/>
    </row>
    <row r="6910" spans="13:28" s="308" customFormat="1" x14ac:dyDescent="0.2">
      <c r="M6910" s="309"/>
      <c r="AB6910" s="310"/>
    </row>
    <row r="6911" spans="13:28" s="308" customFormat="1" x14ac:dyDescent="0.2">
      <c r="M6911" s="309"/>
      <c r="AB6911" s="310"/>
    </row>
    <row r="6912" spans="13:28" s="308" customFormat="1" x14ac:dyDescent="0.2">
      <c r="M6912" s="309"/>
      <c r="AB6912" s="310"/>
    </row>
    <row r="6913" spans="13:28" s="308" customFormat="1" x14ac:dyDescent="0.2">
      <c r="M6913" s="309"/>
      <c r="AB6913" s="310"/>
    </row>
    <row r="6914" spans="13:28" s="308" customFormat="1" x14ac:dyDescent="0.2">
      <c r="M6914" s="309"/>
      <c r="AB6914" s="310"/>
    </row>
    <row r="6915" spans="13:28" s="308" customFormat="1" x14ac:dyDescent="0.2">
      <c r="M6915" s="309"/>
      <c r="AB6915" s="310"/>
    </row>
    <row r="6916" spans="13:28" s="308" customFormat="1" x14ac:dyDescent="0.2">
      <c r="M6916" s="309"/>
      <c r="AB6916" s="310"/>
    </row>
    <row r="6917" spans="13:28" s="308" customFormat="1" x14ac:dyDescent="0.2">
      <c r="M6917" s="309"/>
      <c r="AB6917" s="310"/>
    </row>
    <row r="6918" spans="13:28" s="308" customFormat="1" x14ac:dyDescent="0.2">
      <c r="M6918" s="309"/>
      <c r="AB6918" s="310"/>
    </row>
    <row r="6919" spans="13:28" s="308" customFormat="1" x14ac:dyDescent="0.2">
      <c r="M6919" s="309"/>
      <c r="AB6919" s="310"/>
    </row>
    <row r="6920" spans="13:28" s="308" customFormat="1" x14ac:dyDescent="0.2">
      <c r="M6920" s="309"/>
      <c r="AB6920" s="310"/>
    </row>
    <row r="6921" spans="13:28" s="308" customFormat="1" x14ac:dyDescent="0.2">
      <c r="M6921" s="309"/>
      <c r="AB6921" s="310"/>
    </row>
    <row r="6922" spans="13:28" s="308" customFormat="1" x14ac:dyDescent="0.2">
      <c r="M6922" s="309"/>
      <c r="AB6922" s="310"/>
    </row>
    <row r="6923" spans="13:28" s="308" customFormat="1" x14ac:dyDescent="0.2">
      <c r="M6923" s="309"/>
      <c r="AB6923" s="310"/>
    </row>
    <row r="6924" spans="13:28" s="308" customFormat="1" x14ac:dyDescent="0.2">
      <c r="M6924" s="309"/>
      <c r="AB6924" s="310"/>
    </row>
    <row r="6925" spans="13:28" s="308" customFormat="1" x14ac:dyDescent="0.2">
      <c r="M6925" s="309"/>
      <c r="AB6925" s="310"/>
    </row>
    <row r="6926" spans="13:28" s="308" customFormat="1" x14ac:dyDescent="0.2">
      <c r="M6926" s="309"/>
      <c r="AB6926" s="310"/>
    </row>
    <row r="6927" spans="13:28" s="308" customFormat="1" x14ac:dyDescent="0.2">
      <c r="M6927" s="309"/>
      <c r="AB6927" s="310"/>
    </row>
    <row r="6928" spans="13:28" s="308" customFormat="1" x14ac:dyDescent="0.2">
      <c r="M6928" s="309"/>
      <c r="AB6928" s="310"/>
    </row>
    <row r="6929" spans="13:28" s="308" customFormat="1" x14ac:dyDescent="0.2">
      <c r="M6929" s="309"/>
      <c r="AB6929" s="310"/>
    </row>
    <row r="6930" spans="13:28" s="308" customFormat="1" x14ac:dyDescent="0.2">
      <c r="M6930" s="309"/>
      <c r="AB6930" s="310"/>
    </row>
    <row r="6931" spans="13:28" s="308" customFormat="1" x14ac:dyDescent="0.2">
      <c r="M6931" s="309"/>
      <c r="AB6931" s="310"/>
    </row>
    <row r="6932" spans="13:28" s="308" customFormat="1" x14ac:dyDescent="0.2">
      <c r="M6932" s="309"/>
      <c r="AB6932" s="310"/>
    </row>
    <row r="6933" spans="13:28" s="308" customFormat="1" x14ac:dyDescent="0.2">
      <c r="M6933" s="309"/>
      <c r="AB6933" s="310"/>
    </row>
    <row r="6934" spans="13:28" s="308" customFormat="1" x14ac:dyDescent="0.2">
      <c r="M6934" s="309"/>
      <c r="AB6934" s="310"/>
    </row>
    <row r="6935" spans="13:28" s="308" customFormat="1" x14ac:dyDescent="0.2">
      <c r="M6935" s="309"/>
      <c r="AB6935" s="310"/>
    </row>
    <row r="6936" spans="13:28" s="308" customFormat="1" x14ac:dyDescent="0.2">
      <c r="M6936" s="309"/>
      <c r="AB6936" s="310"/>
    </row>
    <row r="6937" spans="13:28" s="308" customFormat="1" x14ac:dyDescent="0.2">
      <c r="M6937" s="309"/>
      <c r="AB6937" s="310"/>
    </row>
    <row r="6938" spans="13:28" s="308" customFormat="1" x14ac:dyDescent="0.2">
      <c r="M6938" s="309"/>
      <c r="AB6938" s="310"/>
    </row>
    <row r="6939" spans="13:28" s="308" customFormat="1" x14ac:dyDescent="0.2">
      <c r="M6939" s="309"/>
      <c r="AB6939" s="310"/>
    </row>
    <row r="6940" spans="13:28" s="308" customFormat="1" x14ac:dyDescent="0.2">
      <c r="M6940" s="309"/>
      <c r="AB6940" s="310"/>
    </row>
    <row r="6941" spans="13:28" s="308" customFormat="1" x14ac:dyDescent="0.2">
      <c r="M6941" s="309"/>
      <c r="AB6941" s="310"/>
    </row>
    <row r="6942" spans="13:28" s="308" customFormat="1" x14ac:dyDescent="0.2">
      <c r="M6942" s="309"/>
      <c r="AB6942" s="310"/>
    </row>
    <row r="6943" spans="13:28" s="308" customFormat="1" x14ac:dyDescent="0.2">
      <c r="M6943" s="309"/>
      <c r="AB6943" s="310"/>
    </row>
    <row r="6944" spans="13:28" s="308" customFormat="1" x14ac:dyDescent="0.2">
      <c r="M6944" s="309"/>
      <c r="AB6944" s="310"/>
    </row>
    <row r="6945" spans="13:28" s="308" customFormat="1" x14ac:dyDescent="0.2">
      <c r="M6945" s="309"/>
      <c r="AB6945" s="310"/>
    </row>
    <row r="6946" spans="13:28" s="308" customFormat="1" x14ac:dyDescent="0.2">
      <c r="M6946" s="309"/>
      <c r="AB6946" s="310"/>
    </row>
    <row r="6947" spans="13:28" s="308" customFormat="1" x14ac:dyDescent="0.2">
      <c r="M6947" s="309"/>
      <c r="AB6947" s="310"/>
    </row>
    <row r="6948" spans="13:28" s="308" customFormat="1" x14ac:dyDescent="0.2">
      <c r="M6948" s="309"/>
      <c r="AB6948" s="310"/>
    </row>
    <row r="6949" spans="13:28" s="308" customFormat="1" x14ac:dyDescent="0.2">
      <c r="M6949" s="309"/>
      <c r="AB6949" s="310"/>
    </row>
    <row r="6950" spans="13:28" s="308" customFormat="1" x14ac:dyDescent="0.2">
      <c r="M6950" s="309"/>
      <c r="AB6950" s="310"/>
    </row>
    <row r="6951" spans="13:28" s="308" customFormat="1" x14ac:dyDescent="0.2">
      <c r="M6951" s="309"/>
      <c r="AB6951" s="310"/>
    </row>
    <row r="6952" spans="13:28" s="308" customFormat="1" x14ac:dyDescent="0.2">
      <c r="M6952" s="309"/>
      <c r="AB6952" s="310"/>
    </row>
    <row r="6953" spans="13:28" s="308" customFormat="1" x14ac:dyDescent="0.2">
      <c r="M6953" s="309"/>
      <c r="AB6953" s="310"/>
    </row>
    <row r="6954" spans="13:28" s="308" customFormat="1" x14ac:dyDescent="0.2">
      <c r="M6954" s="309"/>
      <c r="AB6954" s="310"/>
    </row>
    <row r="6955" spans="13:28" s="308" customFormat="1" x14ac:dyDescent="0.2">
      <c r="M6955" s="309"/>
      <c r="AB6955" s="310"/>
    </row>
    <row r="6956" spans="13:28" s="308" customFormat="1" x14ac:dyDescent="0.2">
      <c r="M6956" s="309"/>
      <c r="AB6956" s="310"/>
    </row>
    <row r="6957" spans="13:28" s="308" customFormat="1" x14ac:dyDescent="0.2">
      <c r="M6957" s="309"/>
      <c r="AB6957" s="310"/>
    </row>
    <row r="6958" spans="13:28" s="308" customFormat="1" x14ac:dyDescent="0.2">
      <c r="M6958" s="309"/>
      <c r="AB6958" s="310"/>
    </row>
    <row r="6959" spans="13:28" s="308" customFormat="1" x14ac:dyDescent="0.2">
      <c r="M6959" s="309"/>
      <c r="AB6959" s="310"/>
    </row>
    <row r="6960" spans="13:28" s="308" customFormat="1" x14ac:dyDescent="0.2">
      <c r="M6960" s="309"/>
      <c r="AB6960" s="310"/>
    </row>
    <row r="6961" spans="13:28" s="308" customFormat="1" x14ac:dyDescent="0.2">
      <c r="M6961" s="309"/>
      <c r="AB6961" s="310"/>
    </row>
    <row r="6962" spans="13:28" s="308" customFormat="1" x14ac:dyDescent="0.2">
      <c r="M6962" s="309"/>
      <c r="AB6962" s="310"/>
    </row>
    <row r="6963" spans="13:28" s="308" customFormat="1" x14ac:dyDescent="0.2">
      <c r="M6963" s="309"/>
      <c r="AB6963" s="310"/>
    </row>
    <row r="6964" spans="13:28" s="308" customFormat="1" x14ac:dyDescent="0.2">
      <c r="M6964" s="309"/>
      <c r="AB6964" s="310"/>
    </row>
    <row r="6965" spans="13:28" s="308" customFormat="1" x14ac:dyDescent="0.2">
      <c r="M6965" s="309"/>
      <c r="AB6965" s="310"/>
    </row>
    <row r="6966" spans="13:28" s="308" customFormat="1" x14ac:dyDescent="0.2">
      <c r="M6966" s="309"/>
      <c r="AB6966" s="310"/>
    </row>
    <row r="6967" spans="13:28" s="308" customFormat="1" x14ac:dyDescent="0.2">
      <c r="M6967" s="309"/>
      <c r="AB6967" s="310"/>
    </row>
    <row r="6968" spans="13:28" s="308" customFormat="1" x14ac:dyDescent="0.2">
      <c r="M6968" s="309"/>
      <c r="AB6968" s="310"/>
    </row>
    <row r="6969" spans="13:28" s="308" customFormat="1" x14ac:dyDescent="0.2">
      <c r="M6969" s="309"/>
      <c r="AB6969" s="310"/>
    </row>
    <row r="6970" spans="13:28" s="308" customFormat="1" x14ac:dyDescent="0.2">
      <c r="M6970" s="309"/>
      <c r="AB6970" s="310"/>
    </row>
    <row r="6971" spans="13:28" s="308" customFormat="1" x14ac:dyDescent="0.2">
      <c r="M6971" s="309"/>
      <c r="AB6971" s="310"/>
    </row>
    <row r="6972" spans="13:28" s="308" customFormat="1" x14ac:dyDescent="0.2">
      <c r="M6972" s="309"/>
      <c r="AB6972" s="310"/>
    </row>
    <row r="6973" spans="13:28" s="308" customFormat="1" x14ac:dyDescent="0.2">
      <c r="M6973" s="309"/>
      <c r="AB6973" s="310"/>
    </row>
    <row r="6974" spans="13:28" s="308" customFormat="1" x14ac:dyDescent="0.2">
      <c r="M6974" s="309"/>
      <c r="AB6974" s="310"/>
    </row>
    <row r="6975" spans="13:28" s="308" customFormat="1" x14ac:dyDescent="0.2">
      <c r="M6975" s="309"/>
      <c r="AB6975" s="310"/>
    </row>
    <row r="6976" spans="13:28" s="308" customFormat="1" x14ac:dyDescent="0.2">
      <c r="M6976" s="309"/>
      <c r="AB6976" s="310"/>
    </row>
    <row r="6977" spans="13:28" s="308" customFormat="1" x14ac:dyDescent="0.2">
      <c r="M6977" s="309"/>
      <c r="AB6977" s="310"/>
    </row>
    <row r="6978" spans="13:28" s="308" customFormat="1" x14ac:dyDescent="0.2">
      <c r="M6978" s="309"/>
      <c r="AB6978" s="310"/>
    </row>
    <row r="6979" spans="13:28" s="308" customFormat="1" x14ac:dyDescent="0.2">
      <c r="M6979" s="309"/>
      <c r="AB6979" s="310"/>
    </row>
    <row r="6980" spans="13:28" s="308" customFormat="1" x14ac:dyDescent="0.2">
      <c r="M6980" s="309"/>
      <c r="AB6980" s="310"/>
    </row>
    <row r="6981" spans="13:28" s="308" customFormat="1" x14ac:dyDescent="0.2">
      <c r="M6981" s="309"/>
      <c r="AB6981" s="310"/>
    </row>
    <row r="6982" spans="13:28" s="308" customFormat="1" x14ac:dyDescent="0.2">
      <c r="M6982" s="309"/>
      <c r="AB6982" s="310"/>
    </row>
    <row r="6983" spans="13:28" s="308" customFormat="1" x14ac:dyDescent="0.2">
      <c r="M6983" s="309"/>
      <c r="AB6983" s="310"/>
    </row>
    <row r="6984" spans="13:28" s="308" customFormat="1" x14ac:dyDescent="0.2">
      <c r="M6984" s="309"/>
      <c r="AB6984" s="310"/>
    </row>
    <row r="6985" spans="13:28" s="308" customFormat="1" x14ac:dyDescent="0.2">
      <c r="M6985" s="309"/>
      <c r="AB6985" s="310"/>
    </row>
    <row r="6986" spans="13:28" s="308" customFormat="1" x14ac:dyDescent="0.2">
      <c r="M6986" s="309"/>
      <c r="AB6986" s="310"/>
    </row>
    <row r="6987" spans="13:28" s="308" customFormat="1" x14ac:dyDescent="0.2">
      <c r="M6987" s="309"/>
      <c r="AB6987" s="310"/>
    </row>
    <row r="6988" spans="13:28" s="308" customFormat="1" x14ac:dyDescent="0.2">
      <c r="M6988" s="309"/>
      <c r="AB6988" s="310"/>
    </row>
    <row r="6989" spans="13:28" s="308" customFormat="1" x14ac:dyDescent="0.2">
      <c r="M6989" s="309"/>
      <c r="AB6989" s="310"/>
    </row>
    <row r="6990" spans="13:28" s="308" customFormat="1" x14ac:dyDescent="0.2">
      <c r="M6990" s="309"/>
      <c r="AB6990" s="310"/>
    </row>
    <row r="6991" spans="13:28" s="308" customFormat="1" x14ac:dyDescent="0.2">
      <c r="M6991" s="309"/>
      <c r="AB6991" s="310"/>
    </row>
    <row r="6992" spans="13:28" s="308" customFormat="1" x14ac:dyDescent="0.2">
      <c r="M6992" s="309"/>
      <c r="AB6992" s="310"/>
    </row>
    <row r="6993" spans="13:28" s="308" customFormat="1" x14ac:dyDescent="0.2">
      <c r="M6993" s="309"/>
      <c r="AB6993" s="310"/>
    </row>
    <row r="6994" spans="13:28" s="308" customFormat="1" x14ac:dyDescent="0.2">
      <c r="M6994" s="309"/>
      <c r="AB6994" s="310"/>
    </row>
    <row r="6995" spans="13:28" s="308" customFormat="1" x14ac:dyDescent="0.2">
      <c r="M6995" s="309"/>
      <c r="AB6995" s="310"/>
    </row>
    <row r="6996" spans="13:28" s="308" customFormat="1" x14ac:dyDescent="0.2">
      <c r="M6996" s="309"/>
      <c r="AB6996" s="310"/>
    </row>
    <row r="6997" spans="13:28" s="308" customFormat="1" x14ac:dyDescent="0.2">
      <c r="M6997" s="309"/>
      <c r="AB6997" s="310"/>
    </row>
    <row r="6998" spans="13:28" s="308" customFormat="1" x14ac:dyDescent="0.2">
      <c r="M6998" s="309"/>
      <c r="AB6998" s="310"/>
    </row>
    <row r="6999" spans="13:28" s="308" customFormat="1" x14ac:dyDescent="0.2">
      <c r="M6999" s="309"/>
      <c r="AB6999" s="310"/>
    </row>
    <row r="7000" spans="13:28" s="308" customFormat="1" x14ac:dyDescent="0.2">
      <c r="M7000" s="309"/>
      <c r="AB7000" s="310"/>
    </row>
    <row r="7001" spans="13:28" s="308" customFormat="1" x14ac:dyDescent="0.2">
      <c r="M7001" s="309"/>
      <c r="AB7001" s="310"/>
    </row>
    <row r="7002" spans="13:28" s="308" customFormat="1" x14ac:dyDescent="0.2">
      <c r="M7002" s="309"/>
      <c r="AB7002" s="310"/>
    </row>
    <row r="7003" spans="13:28" s="308" customFormat="1" x14ac:dyDescent="0.2">
      <c r="M7003" s="309"/>
      <c r="AB7003" s="310"/>
    </row>
    <row r="7004" spans="13:28" s="308" customFormat="1" x14ac:dyDescent="0.2">
      <c r="M7004" s="309"/>
      <c r="AB7004" s="310"/>
    </row>
    <row r="7005" spans="13:28" s="308" customFormat="1" x14ac:dyDescent="0.2">
      <c r="M7005" s="309"/>
      <c r="AB7005" s="310"/>
    </row>
    <row r="7006" spans="13:28" s="308" customFormat="1" x14ac:dyDescent="0.2">
      <c r="M7006" s="309"/>
      <c r="AB7006" s="310"/>
    </row>
    <row r="7007" spans="13:28" s="308" customFormat="1" x14ac:dyDescent="0.2">
      <c r="M7007" s="309"/>
      <c r="AB7007" s="310"/>
    </row>
    <row r="7008" spans="13:28" s="308" customFormat="1" x14ac:dyDescent="0.2">
      <c r="M7008" s="309"/>
      <c r="AB7008" s="310"/>
    </row>
    <row r="7009" spans="13:28" s="308" customFormat="1" x14ac:dyDescent="0.2">
      <c r="M7009" s="309"/>
      <c r="AB7009" s="310"/>
    </row>
    <row r="7010" spans="13:28" s="308" customFormat="1" x14ac:dyDescent="0.2">
      <c r="M7010" s="309"/>
      <c r="AB7010" s="310"/>
    </row>
    <row r="7011" spans="13:28" s="308" customFormat="1" x14ac:dyDescent="0.2">
      <c r="M7011" s="309"/>
      <c r="AB7011" s="310"/>
    </row>
    <row r="7012" spans="13:28" s="308" customFormat="1" x14ac:dyDescent="0.2">
      <c r="M7012" s="309"/>
      <c r="AB7012" s="310"/>
    </row>
    <row r="7013" spans="13:28" s="308" customFormat="1" x14ac:dyDescent="0.2">
      <c r="M7013" s="309"/>
      <c r="AB7013" s="310"/>
    </row>
    <row r="7014" spans="13:28" s="308" customFormat="1" x14ac:dyDescent="0.2">
      <c r="M7014" s="309"/>
      <c r="AB7014" s="310"/>
    </row>
    <row r="7015" spans="13:28" s="308" customFormat="1" x14ac:dyDescent="0.2">
      <c r="M7015" s="309"/>
      <c r="AB7015" s="310"/>
    </row>
    <row r="7016" spans="13:28" s="308" customFormat="1" x14ac:dyDescent="0.2">
      <c r="M7016" s="309"/>
      <c r="AB7016" s="310"/>
    </row>
    <row r="7017" spans="13:28" s="308" customFormat="1" x14ac:dyDescent="0.2">
      <c r="M7017" s="309"/>
      <c r="AB7017" s="310"/>
    </row>
    <row r="7018" spans="13:28" s="308" customFormat="1" x14ac:dyDescent="0.2">
      <c r="M7018" s="309"/>
      <c r="AB7018" s="310"/>
    </row>
    <row r="7019" spans="13:28" s="308" customFormat="1" x14ac:dyDescent="0.2">
      <c r="M7019" s="309"/>
      <c r="AB7019" s="310"/>
    </row>
    <row r="7020" spans="13:28" s="308" customFormat="1" x14ac:dyDescent="0.2">
      <c r="M7020" s="309"/>
      <c r="AB7020" s="310"/>
    </row>
    <row r="7021" spans="13:28" s="308" customFormat="1" x14ac:dyDescent="0.2">
      <c r="M7021" s="309"/>
      <c r="AB7021" s="310"/>
    </row>
    <row r="7022" spans="13:28" s="308" customFormat="1" x14ac:dyDescent="0.2">
      <c r="M7022" s="309"/>
      <c r="AB7022" s="310"/>
    </row>
    <row r="7023" spans="13:28" s="308" customFormat="1" x14ac:dyDescent="0.2">
      <c r="M7023" s="309"/>
      <c r="AB7023" s="310"/>
    </row>
    <row r="7024" spans="13:28" s="308" customFormat="1" x14ac:dyDescent="0.2">
      <c r="M7024" s="309"/>
      <c r="AB7024" s="310"/>
    </row>
    <row r="7025" spans="13:28" s="308" customFormat="1" x14ac:dyDescent="0.2">
      <c r="M7025" s="309"/>
      <c r="AB7025" s="310"/>
    </row>
    <row r="7026" spans="13:28" s="308" customFormat="1" x14ac:dyDescent="0.2">
      <c r="M7026" s="309"/>
      <c r="AB7026" s="310"/>
    </row>
    <row r="7027" spans="13:28" s="308" customFormat="1" x14ac:dyDescent="0.2">
      <c r="M7027" s="309"/>
      <c r="AB7027" s="310"/>
    </row>
    <row r="7028" spans="13:28" s="308" customFormat="1" x14ac:dyDescent="0.2">
      <c r="M7028" s="309"/>
      <c r="AB7028" s="310"/>
    </row>
    <row r="7029" spans="13:28" s="308" customFormat="1" x14ac:dyDescent="0.2">
      <c r="M7029" s="309"/>
      <c r="AB7029" s="310"/>
    </row>
    <row r="7030" spans="13:28" s="308" customFormat="1" x14ac:dyDescent="0.2">
      <c r="M7030" s="309"/>
      <c r="AB7030" s="310"/>
    </row>
    <row r="7031" spans="13:28" s="308" customFormat="1" x14ac:dyDescent="0.2">
      <c r="M7031" s="309"/>
      <c r="AB7031" s="310"/>
    </row>
    <row r="7032" spans="13:28" s="308" customFormat="1" x14ac:dyDescent="0.2">
      <c r="M7032" s="309"/>
      <c r="AB7032" s="310"/>
    </row>
    <row r="7033" spans="13:28" s="308" customFormat="1" x14ac:dyDescent="0.2">
      <c r="M7033" s="309"/>
      <c r="AB7033" s="310"/>
    </row>
    <row r="7034" spans="13:28" s="308" customFormat="1" x14ac:dyDescent="0.2">
      <c r="M7034" s="309"/>
      <c r="AB7034" s="310"/>
    </row>
    <row r="7035" spans="13:28" s="308" customFormat="1" x14ac:dyDescent="0.2">
      <c r="M7035" s="309"/>
      <c r="AB7035" s="310"/>
    </row>
    <row r="7036" spans="13:28" s="308" customFormat="1" x14ac:dyDescent="0.2">
      <c r="M7036" s="309"/>
      <c r="AB7036" s="310"/>
    </row>
    <row r="7037" spans="13:28" s="308" customFormat="1" x14ac:dyDescent="0.2">
      <c r="M7037" s="309"/>
      <c r="AB7037" s="310"/>
    </row>
    <row r="7038" spans="13:28" s="308" customFormat="1" x14ac:dyDescent="0.2">
      <c r="M7038" s="309"/>
      <c r="AB7038" s="310"/>
    </row>
    <row r="7039" spans="13:28" s="308" customFormat="1" x14ac:dyDescent="0.2">
      <c r="M7039" s="309"/>
      <c r="AB7039" s="310"/>
    </row>
    <row r="7040" spans="13:28" s="308" customFormat="1" x14ac:dyDescent="0.2">
      <c r="M7040" s="309"/>
      <c r="AB7040" s="310"/>
    </row>
    <row r="7041" spans="13:28" s="308" customFormat="1" x14ac:dyDescent="0.2">
      <c r="M7041" s="309"/>
      <c r="AB7041" s="310"/>
    </row>
    <row r="7042" spans="13:28" s="308" customFormat="1" x14ac:dyDescent="0.2">
      <c r="M7042" s="309"/>
      <c r="AB7042" s="310"/>
    </row>
    <row r="7043" spans="13:28" s="308" customFormat="1" x14ac:dyDescent="0.2">
      <c r="M7043" s="309"/>
      <c r="AB7043" s="310"/>
    </row>
    <row r="7044" spans="13:28" s="308" customFormat="1" x14ac:dyDescent="0.2">
      <c r="M7044" s="309"/>
      <c r="AB7044" s="310"/>
    </row>
    <row r="7045" spans="13:28" s="308" customFormat="1" x14ac:dyDescent="0.2">
      <c r="M7045" s="309"/>
      <c r="AB7045" s="310"/>
    </row>
    <row r="7046" spans="13:28" s="308" customFormat="1" x14ac:dyDescent="0.2">
      <c r="M7046" s="309"/>
      <c r="AB7046" s="310"/>
    </row>
    <row r="7047" spans="13:28" s="308" customFormat="1" x14ac:dyDescent="0.2">
      <c r="M7047" s="309"/>
      <c r="AB7047" s="310"/>
    </row>
    <row r="7048" spans="13:28" s="308" customFormat="1" x14ac:dyDescent="0.2">
      <c r="M7048" s="309"/>
      <c r="AB7048" s="310"/>
    </row>
    <row r="7049" spans="13:28" s="308" customFormat="1" x14ac:dyDescent="0.2">
      <c r="M7049" s="309"/>
      <c r="AB7049" s="310"/>
    </row>
    <row r="7050" spans="13:28" s="308" customFormat="1" x14ac:dyDescent="0.2">
      <c r="M7050" s="309"/>
      <c r="AB7050" s="310"/>
    </row>
    <row r="7051" spans="13:28" s="308" customFormat="1" x14ac:dyDescent="0.2">
      <c r="M7051" s="309"/>
      <c r="AB7051" s="310"/>
    </row>
    <row r="7052" spans="13:28" s="308" customFormat="1" x14ac:dyDescent="0.2">
      <c r="M7052" s="309"/>
      <c r="AB7052" s="310"/>
    </row>
    <row r="7053" spans="13:28" s="308" customFormat="1" x14ac:dyDescent="0.2">
      <c r="M7053" s="309"/>
      <c r="AB7053" s="310"/>
    </row>
    <row r="7054" spans="13:28" s="308" customFormat="1" x14ac:dyDescent="0.2">
      <c r="M7054" s="309"/>
      <c r="AB7054" s="310"/>
    </row>
    <row r="7055" spans="13:28" s="308" customFormat="1" x14ac:dyDescent="0.2">
      <c r="M7055" s="309"/>
      <c r="AB7055" s="310"/>
    </row>
    <row r="7056" spans="13:28" s="308" customFormat="1" x14ac:dyDescent="0.2">
      <c r="M7056" s="309"/>
      <c r="AB7056" s="310"/>
    </row>
    <row r="7057" spans="13:28" s="308" customFormat="1" x14ac:dyDescent="0.2">
      <c r="M7057" s="309"/>
      <c r="AB7057" s="310"/>
    </row>
    <row r="7058" spans="13:28" s="308" customFormat="1" x14ac:dyDescent="0.2">
      <c r="M7058" s="309"/>
      <c r="AB7058" s="310"/>
    </row>
    <row r="7059" spans="13:28" s="308" customFormat="1" x14ac:dyDescent="0.2">
      <c r="M7059" s="309"/>
      <c r="AB7059" s="310"/>
    </row>
    <row r="7060" spans="13:28" s="308" customFormat="1" x14ac:dyDescent="0.2">
      <c r="M7060" s="309"/>
      <c r="AB7060" s="310"/>
    </row>
    <row r="7061" spans="13:28" s="308" customFormat="1" x14ac:dyDescent="0.2">
      <c r="M7061" s="309"/>
      <c r="AB7061" s="310"/>
    </row>
    <row r="7062" spans="13:28" s="308" customFormat="1" x14ac:dyDescent="0.2">
      <c r="M7062" s="309"/>
      <c r="AB7062" s="310"/>
    </row>
    <row r="7063" spans="13:28" s="308" customFormat="1" x14ac:dyDescent="0.2">
      <c r="M7063" s="309"/>
      <c r="AB7063" s="310"/>
    </row>
    <row r="7064" spans="13:28" s="308" customFormat="1" x14ac:dyDescent="0.2">
      <c r="M7064" s="309"/>
      <c r="AB7064" s="310"/>
    </row>
    <row r="7065" spans="13:28" s="308" customFormat="1" x14ac:dyDescent="0.2">
      <c r="M7065" s="309"/>
      <c r="AB7065" s="310"/>
    </row>
    <row r="7066" spans="13:28" s="308" customFormat="1" x14ac:dyDescent="0.2">
      <c r="M7066" s="309"/>
      <c r="AB7066" s="310"/>
    </row>
    <row r="7067" spans="13:28" s="308" customFormat="1" x14ac:dyDescent="0.2">
      <c r="M7067" s="309"/>
      <c r="AB7067" s="310"/>
    </row>
    <row r="7068" spans="13:28" s="308" customFormat="1" x14ac:dyDescent="0.2">
      <c r="M7068" s="309"/>
      <c r="AB7068" s="310"/>
    </row>
    <row r="7069" spans="13:28" s="308" customFormat="1" x14ac:dyDescent="0.2">
      <c r="M7069" s="309"/>
      <c r="AB7069" s="310"/>
    </row>
    <row r="7070" spans="13:28" s="308" customFormat="1" x14ac:dyDescent="0.2">
      <c r="M7070" s="309"/>
      <c r="AB7070" s="310"/>
    </row>
    <row r="7071" spans="13:28" s="308" customFormat="1" x14ac:dyDescent="0.2">
      <c r="M7071" s="309"/>
      <c r="AB7071" s="310"/>
    </row>
    <row r="7072" spans="13:28" s="308" customFormat="1" x14ac:dyDescent="0.2">
      <c r="M7072" s="309"/>
      <c r="AB7072" s="310"/>
    </row>
    <row r="7073" spans="13:28" s="308" customFormat="1" x14ac:dyDescent="0.2">
      <c r="M7073" s="309"/>
      <c r="AB7073" s="310"/>
    </row>
    <row r="7074" spans="13:28" s="308" customFormat="1" x14ac:dyDescent="0.2">
      <c r="M7074" s="309"/>
      <c r="AB7074" s="310"/>
    </row>
    <row r="7075" spans="13:28" s="308" customFormat="1" x14ac:dyDescent="0.2">
      <c r="M7075" s="309"/>
      <c r="AB7075" s="310"/>
    </row>
    <row r="7076" spans="13:28" s="308" customFormat="1" x14ac:dyDescent="0.2">
      <c r="M7076" s="309"/>
      <c r="AB7076" s="310"/>
    </row>
    <row r="7077" spans="13:28" s="308" customFormat="1" x14ac:dyDescent="0.2">
      <c r="M7077" s="309"/>
      <c r="AB7077" s="310"/>
    </row>
    <row r="7078" spans="13:28" s="308" customFormat="1" x14ac:dyDescent="0.2">
      <c r="M7078" s="309"/>
      <c r="AB7078" s="310"/>
    </row>
    <row r="7079" spans="13:28" s="308" customFormat="1" x14ac:dyDescent="0.2">
      <c r="M7079" s="309"/>
      <c r="AB7079" s="310"/>
    </row>
    <row r="7080" spans="13:28" s="308" customFormat="1" x14ac:dyDescent="0.2">
      <c r="M7080" s="309"/>
      <c r="AB7080" s="310"/>
    </row>
    <row r="7081" spans="13:28" s="308" customFormat="1" x14ac:dyDescent="0.2">
      <c r="M7081" s="309"/>
      <c r="AB7081" s="310"/>
    </row>
    <row r="7082" spans="13:28" s="308" customFormat="1" x14ac:dyDescent="0.2">
      <c r="M7082" s="309"/>
      <c r="AB7082" s="310"/>
    </row>
    <row r="7083" spans="13:28" s="308" customFormat="1" x14ac:dyDescent="0.2">
      <c r="M7083" s="309"/>
      <c r="AB7083" s="310"/>
    </row>
    <row r="7084" spans="13:28" s="308" customFormat="1" x14ac:dyDescent="0.2">
      <c r="M7084" s="309"/>
      <c r="AB7084" s="310"/>
    </row>
    <row r="7085" spans="13:28" s="308" customFormat="1" x14ac:dyDescent="0.2">
      <c r="M7085" s="309"/>
      <c r="AB7085" s="310"/>
    </row>
    <row r="7086" spans="13:28" s="308" customFormat="1" x14ac:dyDescent="0.2">
      <c r="M7086" s="309"/>
      <c r="AB7086" s="310"/>
    </row>
    <row r="7087" spans="13:28" s="308" customFormat="1" x14ac:dyDescent="0.2">
      <c r="M7087" s="309"/>
      <c r="AB7087" s="310"/>
    </row>
    <row r="7088" spans="13:28" s="308" customFormat="1" x14ac:dyDescent="0.2">
      <c r="M7088" s="309"/>
      <c r="AB7088" s="310"/>
    </row>
    <row r="7089" spans="13:28" s="308" customFormat="1" x14ac:dyDescent="0.2">
      <c r="M7089" s="309"/>
      <c r="AB7089" s="310"/>
    </row>
    <row r="7090" spans="13:28" s="308" customFormat="1" x14ac:dyDescent="0.2">
      <c r="M7090" s="309"/>
      <c r="AB7090" s="310"/>
    </row>
    <row r="7091" spans="13:28" s="308" customFormat="1" x14ac:dyDescent="0.2">
      <c r="M7091" s="309"/>
      <c r="AB7091" s="310"/>
    </row>
    <row r="7092" spans="13:28" s="308" customFormat="1" x14ac:dyDescent="0.2">
      <c r="M7092" s="309"/>
      <c r="AB7092" s="310"/>
    </row>
    <row r="7093" spans="13:28" s="308" customFormat="1" x14ac:dyDescent="0.2">
      <c r="M7093" s="309"/>
      <c r="AB7093" s="310"/>
    </row>
    <row r="7094" spans="13:28" s="308" customFormat="1" x14ac:dyDescent="0.2">
      <c r="M7094" s="309"/>
      <c r="AB7094" s="310"/>
    </row>
    <row r="7095" spans="13:28" s="308" customFormat="1" x14ac:dyDescent="0.2">
      <c r="M7095" s="309"/>
      <c r="AB7095" s="310"/>
    </row>
    <row r="7096" spans="13:28" s="308" customFormat="1" x14ac:dyDescent="0.2">
      <c r="M7096" s="309"/>
      <c r="AB7096" s="310"/>
    </row>
    <row r="7097" spans="13:28" s="308" customFormat="1" x14ac:dyDescent="0.2">
      <c r="M7097" s="309"/>
      <c r="AB7097" s="310"/>
    </row>
    <row r="7098" spans="13:28" s="308" customFormat="1" x14ac:dyDescent="0.2">
      <c r="M7098" s="309"/>
      <c r="AB7098" s="310"/>
    </row>
    <row r="7099" spans="13:28" s="308" customFormat="1" x14ac:dyDescent="0.2">
      <c r="M7099" s="309"/>
      <c r="AB7099" s="310"/>
    </row>
    <row r="7100" spans="13:28" s="308" customFormat="1" x14ac:dyDescent="0.2">
      <c r="M7100" s="309"/>
      <c r="AB7100" s="310"/>
    </row>
    <row r="7101" spans="13:28" s="308" customFormat="1" x14ac:dyDescent="0.2">
      <c r="M7101" s="309"/>
      <c r="AB7101" s="310"/>
    </row>
    <row r="7102" spans="13:28" s="308" customFormat="1" x14ac:dyDescent="0.2">
      <c r="M7102" s="309"/>
      <c r="AB7102" s="310"/>
    </row>
    <row r="7103" spans="13:28" s="308" customFormat="1" x14ac:dyDescent="0.2">
      <c r="M7103" s="309"/>
      <c r="AB7103" s="310"/>
    </row>
    <row r="7104" spans="13:28" s="308" customFormat="1" x14ac:dyDescent="0.2">
      <c r="M7104" s="309"/>
      <c r="AB7104" s="310"/>
    </row>
    <row r="7105" spans="13:28" s="308" customFormat="1" x14ac:dyDescent="0.2">
      <c r="M7105" s="309"/>
      <c r="AB7105" s="310"/>
    </row>
    <row r="7106" spans="13:28" s="308" customFormat="1" x14ac:dyDescent="0.2">
      <c r="M7106" s="309"/>
      <c r="AB7106" s="310"/>
    </row>
    <row r="7107" spans="13:28" s="308" customFormat="1" x14ac:dyDescent="0.2">
      <c r="M7107" s="309"/>
      <c r="AB7107" s="310"/>
    </row>
    <row r="7108" spans="13:28" s="308" customFormat="1" x14ac:dyDescent="0.2">
      <c r="M7108" s="309"/>
      <c r="AB7108" s="310"/>
    </row>
    <row r="7109" spans="13:28" s="308" customFormat="1" x14ac:dyDescent="0.2">
      <c r="M7109" s="309"/>
      <c r="AB7109" s="310"/>
    </row>
    <row r="7110" spans="13:28" s="308" customFormat="1" x14ac:dyDescent="0.2">
      <c r="M7110" s="309"/>
      <c r="AB7110" s="310"/>
    </row>
    <row r="7111" spans="13:28" s="308" customFormat="1" x14ac:dyDescent="0.2">
      <c r="M7111" s="309"/>
      <c r="AB7111" s="310"/>
    </row>
    <row r="7112" spans="13:28" s="308" customFormat="1" x14ac:dyDescent="0.2">
      <c r="M7112" s="309"/>
      <c r="AB7112" s="310"/>
    </row>
    <row r="7113" spans="13:28" s="308" customFormat="1" x14ac:dyDescent="0.2">
      <c r="M7113" s="309"/>
      <c r="AB7113" s="310"/>
    </row>
    <row r="7114" spans="13:28" s="308" customFormat="1" x14ac:dyDescent="0.2">
      <c r="M7114" s="309"/>
      <c r="AB7114" s="310"/>
    </row>
    <row r="7115" spans="13:28" s="308" customFormat="1" x14ac:dyDescent="0.2">
      <c r="M7115" s="309"/>
      <c r="AB7115" s="310"/>
    </row>
    <row r="7116" spans="13:28" s="308" customFormat="1" x14ac:dyDescent="0.2">
      <c r="M7116" s="309"/>
      <c r="AB7116" s="310"/>
    </row>
    <row r="7117" spans="13:28" s="308" customFormat="1" x14ac:dyDescent="0.2">
      <c r="M7117" s="309"/>
      <c r="AB7117" s="310"/>
    </row>
    <row r="7118" spans="13:28" s="308" customFormat="1" x14ac:dyDescent="0.2">
      <c r="M7118" s="309"/>
      <c r="AB7118" s="310"/>
    </row>
    <row r="7119" spans="13:28" s="308" customFormat="1" x14ac:dyDescent="0.2">
      <c r="M7119" s="309"/>
      <c r="AB7119" s="310"/>
    </row>
    <row r="7120" spans="13:28" s="308" customFormat="1" x14ac:dyDescent="0.2">
      <c r="M7120" s="309"/>
      <c r="AB7120" s="310"/>
    </row>
    <row r="7121" spans="13:28" s="308" customFormat="1" x14ac:dyDescent="0.2">
      <c r="M7121" s="309"/>
      <c r="AB7121" s="310"/>
    </row>
    <row r="7122" spans="13:28" s="308" customFormat="1" x14ac:dyDescent="0.2">
      <c r="M7122" s="309"/>
      <c r="AB7122" s="310"/>
    </row>
    <row r="7123" spans="13:28" s="308" customFormat="1" x14ac:dyDescent="0.2">
      <c r="M7123" s="309"/>
      <c r="AB7123" s="310"/>
    </row>
    <row r="7124" spans="13:28" s="308" customFormat="1" x14ac:dyDescent="0.2">
      <c r="M7124" s="309"/>
      <c r="AB7124" s="310"/>
    </row>
    <row r="7125" spans="13:28" s="308" customFormat="1" x14ac:dyDescent="0.2">
      <c r="M7125" s="309"/>
      <c r="AB7125" s="310"/>
    </row>
    <row r="7126" spans="13:28" s="308" customFormat="1" x14ac:dyDescent="0.2">
      <c r="M7126" s="309"/>
      <c r="AB7126" s="310"/>
    </row>
    <row r="7127" spans="13:28" s="308" customFormat="1" x14ac:dyDescent="0.2">
      <c r="M7127" s="309"/>
      <c r="AB7127" s="310"/>
    </row>
    <row r="7128" spans="13:28" s="308" customFormat="1" x14ac:dyDescent="0.2">
      <c r="M7128" s="309"/>
      <c r="AB7128" s="310"/>
    </row>
    <row r="7129" spans="13:28" s="308" customFormat="1" x14ac:dyDescent="0.2">
      <c r="M7129" s="309"/>
      <c r="AB7129" s="310"/>
    </row>
    <row r="7130" spans="13:28" s="308" customFormat="1" x14ac:dyDescent="0.2">
      <c r="M7130" s="309"/>
      <c r="AB7130" s="310"/>
    </row>
    <row r="7131" spans="13:28" s="308" customFormat="1" x14ac:dyDescent="0.2">
      <c r="M7131" s="309"/>
      <c r="AB7131" s="310"/>
    </row>
    <row r="7132" spans="13:28" s="308" customFormat="1" x14ac:dyDescent="0.2">
      <c r="M7132" s="309"/>
      <c r="AB7132" s="310"/>
    </row>
    <row r="7133" spans="13:28" s="308" customFormat="1" x14ac:dyDescent="0.2">
      <c r="M7133" s="309"/>
      <c r="AB7133" s="310"/>
    </row>
    <row r="7134" spans="13:28" s="308" customFormat="1" x14ac:dyDescent="0.2">
      <c r="M7134" s="309"/>
      <c r="AB7134" s="310"/>
    </row>
    <row r="7135" spans="13:28" s="308" customFormat="1" x14ac:dyDescent="0.2">
      <c r="M7135" s="309"/>
      <c r="AB7135" s="310"/>
    </row>
    <row r="7136" spans="13:28" s="308" customFormat="1" x14ac:dyDescent="0.2">
      <c r="M7136" s="309"/>
      <c r="AB7136" s="310"/>
    </row>
    <row r="7137" spans="13:28" s="308" customFormat="1" x14ac:dyDescent="0.2">
      <c r="M7137" s="309"/>
      <c r="AB7137" s="310"/>
    </row>
    <row r="7138" spans="13:28" s="308" customFormat="1" x14ac:dyDescent="0.2">
      <c r="M7138" s="309"/>
      <c r="AB7138" s="310"/>
    </row>
    <row r="7139" spans="13:28" s="308" customFormat="1" x14ac:dyDescent="0.2">
      <c r="M7139" s="309"/>
      <c r="AB7139" s="310"/>
    </row>
    <row r="7140" spans="13:28" s="308" customFormat="1" x14ac:dyDescent="0.2">
      <c r="M7140" s="309"/>
      <c r="AB7140" s="310"/>
    </row>
    <row r="7141" spans="13:28" s="308" customFormat="1" x14ac:dyDescent="0.2">
      <c r="M7141" s="309"/>
      <c r="AB7141" s="310"/>
    </row>
    <row r="7142" spans="13:28" s="308" customFormat="1" x14ac:dyDescent="0.2">
      <c r="M7142" s="309"/>
      <c r="AB7142" s="310"/>
    </row>
    <row r="7143" spans="13:28" s="308" customFormat="1" x14ac:dyDescent="0.2">
      <c r="M7143" s="309"/>
      <c r="AB7143" s="310"/>
    </row>
    <row r="7144" spans="13:28" s="308" customFormat="1" x14ac:dyDescent="0.2">
      <c r="M7144" s="309"/>
      <c r="AB7144" s="310"/>
    </row>
    <row r="7145" spans="13:28" s="308" customFormat="1" x14ac:dyDescent="0.2">
      <c r="M7145" s="309"/>
      <c r="AB7145" s="310"/>
    </row>
    <row r="7146" spans="13:28" s="308" customFormat="1" x14ac:dyDescent="0.2">
      <c r="M7146" s="309"/>
      <c r="AB7146" s="310"/>
    </row>
    <row r="7147" spans="13:28" s="308" customFormat="1" x14ac:dyDescent="0.2">
      <c r="M7147" s="309"/>
      <c r="AB7147" s="310"/>
    </row>
    <row r="7148" spans="13:28" s="308" customFormat="1" x14ac:dyDescent="0.2">
      <c r="M7148" s="309"/>
      <c r="AB7148" s="310"/>
    </row>
    <row r="7149" spans="13:28" s="308" customFormat="1" x14ac:dyDescent="0.2">
      <c r="M7149" s="309"/>
      <c r="AB7149" s="310"/>
    </row>
    <row r="7150" spans="13:28" s="308" customFormat="1" x14ac:dyDescent="0.2">
      <c r="M7150" s="309"/>
      <c r="AB7150" s="310"/>
    </row>
    <row r="7151" spans="13:28" s="308" customFormat="1" x14ac:dyDescent="0.2">
      <c r="M7151" s="309"/>
      <c r="AB7151" s="310"/>
    </row>
    <row r="7152" spans="13:28" s="308" customFormat="1" x14ac:dyDescent="0.2">
      <c r="M7152" s="309"/>
      <c r="AB7152" s="310"/>
    </row>
    <row r="7153" spans="13:28" s="308" customFormat="1" x14ac:dyDescent="0.2">
      <c r="M7153" s="309"/>
      <c r="AB7153" s="310"/>
    </row>
    <row r="7154" spans="13:28" s="308" customFormat="1" x14ac:dyDescent="0.2">
      <c r="M7154" s="309"/>
      <c r="AB7154" s="310"/>
    </row>
    <row r="7155" spans="13:28" s="308" customFormat="1" x14ac:dyDescent="0.2">
      <c r="M7155" s="309"/>
      <c r="AB7155" s="310"/>
    </row>
    <row r="7156" spans="13:28" s="308" customFormat="1" x14ac:dyDescent="0.2">
      <c r="M7156" s="309"/>
      <c r="AB7156" s="310"/>
    </row>
    <row r="7157" spans="13:28" s="308" customFormat="1" x14ac:dyDescent="0.2">
      <c r="M7157" s="309"/>
      <c r="AB7157" s="310"/>
    </row>
    <row r="7158" spans="13:28" s="308" customFormat="1" x14ac:dyDescent="0.2">
      <c r="M7158" s="309"/>
      <c r="AB7158" s="310"/>
    </row>
    <row r="7159" spans="13:28" s="308" customFormat="1" x14ac:dyDescent="0.2">
      <c r="M7159" s="309"/>
      <c r="AB7159" s="310"/>
    </row>
    <row r="7160" spans="13:28" s="308" customFormat="1" x14ac:dyDescent="0.2">
      <c r="M7160" s="309"/>
      <c r="AB7160" s="310"/>
    </row>
    <row r="7161" spans="13:28" s="308" customFormat="1" x14ac:dyDescent="0.2">
      <c r="M7161" s="309"/>
      <c r="AB7161" s="310"/>
    </row>
    <row r="7162" spans="13:28" s="308" customFormat="1" x14ac:dyDescent="0.2">
      <c r="M7162" s="309"/>
      <c r="AB7162" s="310"/>
    </row>
    <row r="7163" spans="13:28" s="308" customFormat="1" x14ac:dyDescent="0.2">
      <c r="M7163" s="309"/>
      <c r="AB7163" s="310"/>
    </row>
    <row r="7164" spans="13:28" s="308" customFormat="1" x14ac:dyDescent="0.2">
      <c r="M7164" s="309"/>
      <c r="AB7164" s="310"/>
    </row>
    <row r="7165" spans="13:28" s="308" customFormat="1" x14ac:dyDescent="0.2">
      <c r="M7165" s="309"/>
      <c r="AB7165" s="310"/>
    </row>
    <row r="7166" spans="13:28" s="308" customFormat="1" x14ac:dyDescent="0.2">
      <c r="M7166" s="309"/>
      <c r="AB7166" s="310"/>
    </row>
    <row r="7167" spans="13:28" s="308" customFormat="1" x14ac:dyDescent="0.2">
      <c r="M7167" s="309"/>
      <c r="AB7167" s="310"/>
    </row>
    <row r="7168" spans="13:28" s="308" customFormat="1" x14ac:dyDescent="0.2">
      <c r="M7168" s="309"/>
      <c r="AB7168" s="310"/>
    </row>
    <row r="7169" spans="13:28" s="308" customFormat="1" x14ac:dyDescent="0.2">
      <c r="M7169" s="309"/>
      <c r="AB7169" s="310"/>
    </row>
    <row r="7170" spans="13:28" s="308" customFormat="1" x14ac:dyDescent="0.2">
      <c r="M7170" s="309"/>
      <c r="AB7170" s="310"/>
    </row>
    <row r="7171" spans="13:28" s="308" customFormat="1" x14ac:dyDescent="0.2">
      <c r="M7171" s="309"/>
      <c r="AB7171" s="310"/>
    </row>
    <row r="7172" spans="13:28" s="308" customFormat="1" x14ac:dyDescent="0.2">
      <c r="M7172" s="309"/>
      <c r="AB7172" s="310"/>
    </row>
    <row r="7173" spans="13:28" s="308" customFormat="1" x14ac:dyDescent="0.2">
      <c r="M7173" s="309"/>
      <c r="AB7173" s="310"/>
    </row>
    <row r="7174" spans="13:28" s="308" customFormat="1" x14ac:dyDescent="0.2">
      <c r="M7174" s="309"/>
      <c r="AB7174" s="310"/>
    </row>
    <row r="7175" spans="13:28" s="308" customFormat="1" x14ac:dyDescent="0.2">
      <c r="M7175" s="309"/>
      <c r="AB7175" s="310"/>
    </row>
    <row r="7176" spans="13:28" s="308" customFormat="1" x14ac:dyDescent="0.2">
      <c r="M7176" s="309"/>
      <c r="AB7176" s="310"/>
    </row>
    <row r="7177" spans="13:28" s="308" customFormat="1" x14ac:dyDescent="0.2">
      <c r="M7177" s="309"/>
      <c r="AB7177" s="310"/>
    </row>
    <row r="7178" spans="13:28" s="308" customFormat="1" x14ac:dyDescent="0.2">
      <c r="M7178" s="309"/>
      <c r="AB7178" s="310"/>
    </row>
    <row r="7179" spans="13:28" s="308" customFormat="1" x14ac:dyDescent="0.2">
      <c r="M7179" s="309"/>
      <c r="AB7179" s="310"/>
    </row>
    <row r="7180" spans="13:28" s="308" customFormat="1" x14ac:dyDescent="0.2">
      <c r="M7180" s="309"/>
      <c r="AB7180" s="310"/>
    </row>
    <row r="7181" spans="13:28" s="308" customFormat="1" x14ac:dyDescent="0.2">
      <c r="M7181" s="309"/>
      <c r="AB7181" s="310"/>
    </row>
    <row r="7182" spans="13:28" s="308" customFormat="1" x14ac:dyDescent="0.2">
      <c r="M7182" s="309"/>
      <c r="AB7182" s="310"/>
    </row>
    <row r="7183" spans="13:28" s="308" customFormat="1" x14ac:dyDescent="0.2">
      <c r="M7183" s="309"/>
      <c r="AB7183" s="310"/>
    </row>
    <row r="7184" spans="13:28" s="308" customFormat="1" x14ac:dyDescent="0.2">
      <c r="M7184" s="309"/>
      <c r="AB7184" s="310"/>
    </row>
    <row r="7185" spans="13:28" s="308" customFormat="1" x14ac:dyDescent="0.2">
      <c r="M7185" s="309"/>
      <c r="AB7185" s="310"/>
    </row>
    <row r="7186" spans="13:28" s="308" customFormat="1" x14ac:dyDescent="0.2">
      <c r="M7186" s="309"/>
      <c r="AB7186" s="310"/>
    </row>
    <row r="7187" spans="13:28" s="308" customFormat="1" x14ac:dyDescent="0.2">
      <c r="M7187" s="309"/>
      <c r="AB7187" s="310"/>
    </row>
    <row r="7188" spans="13:28" s="308" customFormat="1" x14ac:dyDescent="0.2">
      <c r="M7188" s="309"/>
      <c r="AB7188" s="310"/>
    </row>
    <row r="7189" spans="13:28" s="308" customFormat="1" x14ac:dyDescent="0.2">
      <c r="M7189" s="309"/>
      <c r="AB7189" s="310"/>
    </row>
    <row r="7190" spans="13:28" s="308" customFormat="1" x14ac:dyDescent="0.2">
      <c r="M7190" s="309"/>
      <c r="AB7190" s="310"/>
    </row>
    <row r="7191" spans="13:28" s="308" customFormat="1" x14ac:dyDescent="0.2">
      <c r="M7191" s="309"/>
      <c r="AB7191" s="310"/>
    </row>
    <row r="7192" spans="13:28" s="308" customFormat="1" x14ac:dyDescent="0.2">
      <c r="M7192" s="309"/>
      <c r="AB7192" s="310"/>
    </row>
    <row r="7193" spans="13:28" s="308" customFormat="1" x14ac:dyDescent="0.2">
      <c r="M7193" s="309"/>
      <c r="AB7193" s="310"/>
    </row>
    <row r="7194" spans="13:28" s="308" customFormat="1" x14ac:dyDescent="0.2">
      <c r="M7194" s="309"/>
      <c r="AB7194" s="310"/>
    </row>
    <row r="7195" spans="13:28" s="308" customFormat="1" x14ac:dyDescent="0.2">
      <c r="M7195" s="309"/>
      <c r="AB7195" s="310"/>
    </row>
    <row r="7196" spans="13:28" s="308" customFormat="1" x14ac:dyDescent="0.2">
      <c r="M7196" s="309"/>
      <c r="AB7196" s="310"/>
    </row>
    <row r="7197" spans="13:28" s="308" customFormat="1" x14ac:dyDescent="0.2">
      <c r="M7197" s="309"/>
      <c r="AB7197" s="310"/>
    </row>
    <row r="7198" spans="13:28" s="308" customFormat="1" x14ac:dyDescent="0.2">
      <c r="M7198" s="309"/>
      <c r="AB7198" s="310"/>
    </row>
    <row r="7199" spans="13:28" s="308" customFormat="1" x14ac:dyDescent="0.2">
      <c r="M7199" s="309"/>
      <c r="AB7199" s="310"/>
    </row>
    <row r="7200" spans="13:28" s="308" customFormat="1" x14ac:dyDescent="0.2">
      <c r="M7200" s="309"/>
      <c r="AB7200" s="310"/>
    </row>
    <row r="7201" spans="13:28" s="308" customFormat="1" x14ac:dyDescent="0.2">
      <c r="M7201" s="309"/>
      <c r="AB7201" s="310"/>
    </row>
    <row r="7202" spans="13:28" s="308" customFormat="1" x14ac:dyDescent="0.2">
      <c r="M7202" s="309"/>
      <c r="AB7202" s="310"/>
    </row>
    <row r="7203" spans="13:28" s="308" customFormat="1" x14ac:dyDescent="0.2">
      <c r="M7203" s="309"/>
      <c r="AB7203" s="310"/>
    </row>
    <row r="7204" spans="13:28" s="308" customFormat="1" x14ac:dyDescent="0.2">
      <c r="M7204" s="309"/>
      <c r="AB7204" s="310"/>
    </row>
    <row r="7205" spans="13:28" s="308" customFormat="1" x14ac:dyDescent="0.2">
      <c r="M7205" s="309"/>
      <c r="AB7205" s="310"/>
    </row>
    <row r="7206" spans="13:28" s="308" customFormat="1" x14ac:dyDescent="0.2">
      <c r="M7206" s="309"/>
      <c r="AB7206" s="310"/>
    </row>
    <row r="7207" spans="13:28" s="308" customFormat="1" x14ac:dyDescent="0.2">
      <c r="M7207" s="309"/>
      <c r="AB7207" s="310"/>
    </row>
    <row r="7208" spans="13:28" s="308" customFormat="1" x14ac:dyDescent="0.2">
      <c r="M7208" s="309"/>
      <c r="AB7208" s="310"/>
    </row>
    <row r="7209" spans="13:28" s="308" customFormat="1" x14ac:dyDescent="0.2">
      <c r="M7209" s="309"/>
      <c r="AB7209" s="310"/>
    </row>
    <row r="7210" spans="13:28" s="308" customFormat="1" x14ac:dyDescent="0.2">
      <c r="M7210" s="309"/>
      <c r="AB7210" s="310"/>
    </row>
    <row r="7211" spans="13:28" s="308" customFormat="1" x14ac:dyDescent="0.2">
      <c r="M7211" s="309"/>
      <c r="AB7211" s="310"/>
    </row>
    <row r="7212" spans="13:28" s="308" customFormat="1" x14ac:dyDescent="0.2">
      <c r="M7212" s="309"/>
      <c r="AB7212" s="310"/>
    </row>
    <row r="7213" spans="13:28" s="308" customFormat="1" x14ac:dyDescent="0.2">
      <c r="M7213" s="309"/>
      <c r="AB7213" s="310"/>
    </row>
    <row r="7214" spans="13:28" s="308" customFormat="1" x14ac:dyDescent="0.2">
      <c r="M7214" s="309"/>
      <c r="AB7214" s="310"/>
    </row>
    <row r="7215" spans="13:28" s="308" customFormat="1" x14ac:dyDescent="0.2">
      <c r="M7215" s="309"/>
      <c r="AB7215" s="310"/>
    </row>
    <row r="7216" spans="13:28" s="308" customFormat="1" x14ac:dyDescent="0.2">
      <c r="M7216" s="309"/>
      <c r="AB7216" s="310"/>
    </row>
    <row r="7217" spans="13:28" s="308" customFormat="1" x14ac:dyDescent="0.2">
      <c r="M7217" s="309"/>
      <c r="AB7217" s="310"/>
    </row>
    <row r="7218" spans="13:28" s="308" customFormat="1" x14ac:dyDescent="0.2">
      <c r="M7218" s="309"/>
      <c r="AB7218" s="310"/>
    </row>
    <row r="7219" spans="13:28" s="308" customFormat="1" x14ac:dyDescent="0.2">
      <c r="M7219" s="309"/>
      <c r="AB7219" s="310"/>
    </row>
    <row r="7220" spans="13:28" s="308" customFormat="1" x14ac:dyDescent="0.2">
      <c r="M7220" s="309"/>
      <c r="AB7220" s="310"/>
    </row>
    <row r="7221" spans="13:28" s="308" customFormat="1" x14ac:dyDescent="0.2">
      <c r="M7221" s="309"/>
      <c r="AB7221" s="310"/>
    </row>
    <row r="7222" spans="13:28" s="308" customFormat="1" x14ac:dyDescent="0.2">
      <c r="M7222" s="309"/>
      <c r="AB7222" s="310"/>
    </row>
    <row r="7223" spans="13:28" s="308" customFormat="1" x14ac:dyDescent="0.2">
      <c r="M7223" s="309"/>
      <c r="AB7223" s="310"/>
    </row>
    <row r="7224" spans="13:28" s="308" customFormat="1" x14ac:dyDescent="0.2">
      <c r="M7224" s="309"/>
      <c r="AB7224" s="310"/>
    </row>
    <row r="7225" spans="13:28" s="308" customFormat="1" x14ac:dyDescent="0.2">
      <c r="M7225" s="309"/>
      <c r="AB7225" s="310"/>
    </row>
    <row r="7226" spans="13:28" s="308" customFormat="1" x14ac:dyDescent="0.2">
      <c r="M7226" s="309"/>
      <c r="AB7226" s="310"/>
    </row>
    <row r="7227" spans="13:28" s="308" customFormat="1" x14ac:dyDescent="0.2">
      <c r="M7227" s="309"/>
      <c r="AB7227" s="310"/>
    </row>
    <row r="7228" spans="13:28" s="308" customFormat="1" x14ac:dyDescent="0.2">
      <c r="M7228" s="309"/>
      <c r="AB7228" s="310"/>
    </row>
    <row r="7229" spans="13:28" s="308" customFormat="1" x14ac:dyDescent="0.2">
      <c r="M7229" s="309"/>
      <c r="AB7229" s="310"/>
    </row>
    <row r="7230" spans="13:28" s="308" customFormat="1" x14ac:dyDescent="0.2">
      <c r="M7230" s="309"/>
      <c r="AB7230" s="310"/>
    </row>
    <row r="7231" spans="13:28" s="308" customFormat="1" x14ac:dyDescent="0.2">
      <c r="M7231" s="309"/>
      <c r="AB7231" s="310"/>
    </row>
    <row r="7232" spans="13:28" s="308" customFormat="1" x14ac:dyDescent="0.2">
      <c r="M7232" s="309"/>
      <c r="AB7232" s="310"/>
    </row>
    <row r="7233" spans="13:28" s="308" customFormat="1" x14ac:dyDescent="0.2">
      <c r="M7233" s="309"/>
      <c r="AB7233" s="310"/>
    </row>
    <row r="7234" spans="13:28" s="308" customFormat="1" x14ac:dyDescent="0.2">
      <c r="M7234" s="309"/>
      <c r="AB7234" s="310"/>
    </row>
    <row r="7235" spans="13:28" s="308" customFormat="1" x14ac:dyDescent="0.2">
      <c r="M7235" s="309"/>
      <c r="AB7235" s="310"/>
    </row>
    <row r="7236" spans="13:28" s="308" customFormat="1" x14ac:dyDescent="0.2">
      <c r="M7236" s="309"/>
      <c r="AB7236" s="310"/>
    </row>
    <row r="7237" spans="13:28" s="308" customFormat="1" x14ac:dyDescent="0.2">
      <c r="M7237" s="309"/>
      <c r="AB7237" s="310"/>
    </row>
    <row r="7238" spans="13:28" s="308" customFormat="1" x14ac:dyDescent="0.2">
      <c r="M7238" s="309"/>
      <c r="AB7238" s="310"/>
    </row>
    <row r="7239" spans="13:28" s="308" customFormat="1" x14ac:dyDescent="0.2">
      <c r="M7239" s="309"/>
      <c r="AB7239" s="310"/>
    </row>
    <row r="7240" spans="13:28" s="308" customFormat="1" x14ac:dyDescent="0.2">
      <c r="M7240" s="309"/>
      <c r="AB7240" s="310"/>
    </row>
    <row r="7241" spans="13:28" s="308" customFormat="1" x14ac:dyDescent="0.2">
      <c r="M7241" s="309"/>
      <c r="AB7241" s="310"/>
    </row>
    <row r="7242" spans="13:28" s="308" customFormat="1" x14ac:dyDescent="0.2">
      <c r="M7242" s="309"/>
      <c r="AB7242" s="310"/>
    </row>
    <row r="7243" spans="13:28" s="308" customFormat="1" x14ac:dyDescent="0.2">
      <c r="M7243" s="309"/>
      <c r="AB7243" s="310"/>
    </row>
    <row r="7244" spans="13:28" s="308" customFormat="1" x14ac:dyDescent="0.2">
      <c r="M7244" s="309"/>
      <c r="AB7244" s="310"/>
    </row>
    <row r="7245" spans="13:28" s="308" customFormat="1" x14ac:dyDescent="0.2">
      <c r="M7245" s="309"/>
      <c r="AB7245" s="310"/>
    </row>
    <row r="7246" spans="13:28" s="308" customFormat="1" x14ac:dyDescent="0.2">
      <c r="M7246" s="309"/>
      <c r="AB7246" s="310"/>
    </row>
    <row r="7247" spans="13:28" s="308" customFormat="1" x14ac:dyDescent="0.2">
      <c r="M7247" s="309"/>
      <c r="AB7247" s="310"/>
    </row>
    <row r="7248" spans="13:28" s="308" customFormat="1" x14ac:dyDescent="0.2">
      <c r="M7248" s="309"/>
      <c r="AB7248" s="310"/>
    </row>
    <row r="7249" spans="13:28" s="308" customFormat="1" x14ac:dyDescent="0.2">
      <c r="M7249" s="309"/>
      <c r="AB7249" s="310"/>
    </row>
    <row r="7250" spans="13:28" s="308" customFormat="1" x14ac:dyDescent="0.2">
      <c r="M7250" s="309"/>
      <c r="AB7250" s="310"/>
    </row>
    <row r="7251" spans="13:28" s="308" customFormat="1" x14ac:dyDescent="0.2">
      <c r="M7251" s="309"/>
      <c r="AB7251" s="310"/>
    </row>
    <row r="7252" spans="13:28" s="308" customFormat="1" x14ac:dyDescent="0.2">
      <c r="M7252" s="309"/>
      <c r="AB7252" s="310"/>
    </row>
    <row r="7253" spans="13:28" s="308" customFormat="1" x14ac:dyDescent="0.2">
      <c r="M7253" s="309"/>
      <c r="AB7253" s="310"/>
    </row>
    <row r="7254" spans="13:28" s="308" customFormat="1" x14ac:dyDescent="0.2">
      <c r="M7254" s="309"/>
      <c r="AB7254" s="310"/>
    </row>
    <row r="7255" spans="13:28" s="308" customFormat="1" x14ac:dyDescent="0.2">
      <c r="M7255" s="309"/>
      <c r="AB7255" s="310"/>
    </row>
    <row r="7256" spans="13:28" s="308" customFormat="1" x14ac:dyDescent="0.2">
      <c r="M7256" s="309"/>
      <c r="AB7256" s="310"/>
    </row>
    <row r="7257" spans="13:28" s="308" customFormat="1" x14ac:dyDescent="0.2">
      <c r="M7257" s="309"/>
      <c r="AB7257" s="310"/>
    </row>
    <row r="7258" spans="13:28" s="308" customFormat="1" x14ac:dyDescent="0.2">
      <c r="M7258" s="309"/>
      <c r="AB7258" s="310"/>
    </row>
    <row r="7259" spans="13:28" s="308" customFormat="1" x14ac:dyDescent="0.2">
      <c r="M7259" s="309"/>
      <c r="AB7259" s="310"/>
    </row>
    <row r="7260" spans="13:28" s="308" customFormat="1" x14ac:dyDescent="0.2">
      <c r="M7260" s="309"/>
      <c r="AB7260" s="310"/>
    </row>
    <row r="7261" spans="13:28" s="308" customFormat="1" x14ac:dyDescent="0.2">
      <c r="M7261" s="309"/>
      <c r="AB7261" s="310"/>
    </row>
    <row r="7262" spans="13:28" s="308" customFormat="1" x14ac:dyDescent="0.2">
      <c r="M7262" s="309"/>
      <c r="AB7262" s="310"/>
    </row>
    <row r="7263" spans="13:28" s="308" customFormat="1" x14ac:dyDescent="0.2">
      <c r="M7263" s="309"/>
      <c r="AB7263" s="310"/>
    </row>
    <row r="7264" spans="13:28" s="308" customFormat="1" x14ac:dyDescent="0.2">
      <c r="M7264" s="309"/>
      <c r="AB7264" s="310"/>
    </row>
    <row r="7265" spans="13:28" s="308" customFormat="1" x14ac:dyDescent="0.2">
      <c r="M7265" s="309"/>
      <c r="AB7265" s="310"/>
    </row>
    <row r="7266" spans="13:28" s="308" customFormat="1" x14ac:dyDescent="0.2">
      <c r="M7266" s="309"/>
      <c r="AB7266" s="310"/>
    </row>
    <row r="7267" spans="13:28" s="308" customFormat="1" x14ac:dyDescent="0.2">
      <c r="M7267" s="309"/>
      <c r="AB7267" s="310"/>
    </row>
    <row r="7268" spans="13:28" s="308" customFormat="1" x14ac:dyDescent="0.2">
      <c r="M7268" s="309"/>
      <c r="AB7268" s="310"/>
    </row>
    <row r="7269" spans="13:28" s="308" customFormat="1" x14ac:dyDescent="0.2">
      <c r="M7269" s="309"/>
      <c r="AB7269" s="310"/>
    </row>
    <row r="7270" spans="13:28" s="308" customFormat="1" x14ac:dyDescent="0.2">
      <c r="M7270" s="309"/>
      <c r="AB7270" s="310"/>
    </row>
    <row r="7271" spans="13:28" s="308" customFormat="1" x14ac:dyDescent="0.2">
      <c r="M7271" s="309"/>
      <c r="AB7271" s="310"/>
    </row>
    <row r="7272" spans="13:28" s="308" customFormat="1" x14ac:dyDescent="0.2">
      <c r="M7272" s="309"/>
      <c r="AB7272" s="310"/>
    </row>
    <row r="7273" spans="13:28" s="308" customFormat="1" x14ac:dyDescent="0.2">
      <c r="M7273" s="309"/>
      <c r="AB7273" s="310"/>
    </row>
    <row r="7274" spans="13:28" s="308" customFormat="1" x14ac:dyDescent="0.2">
      <c r="M7274" s="309"/>
      <c r="AB7274" s="310"/>
    </row>
    <row r="7275" spans="13:28" s="308" customFormat="1" x14ac:dyDescent="0.2">
      <c r="M7275" s="309"/>
      <c r="AB7275" s="310"/>
    </row>
    <row r="7276" spans="13:28" s="308" customFormat="1" x14ac:dyDescent="0.2">
      <c r="M7276" s="309"/>
      <c r="AB7276" s="310"/>
    </row>
    <row r="7277" spans="13:28" s="308" customFormat="1" x14ac:dyDescent="0.2">
      <c r="M7277" s="309"/>
      <c r="AB7277" s="310"/>
    </row>
    <row r="7278" spans="13:28" s="308" customFormat="1" x14ac:dyDescent="0.2">
      <c r="M7278" s="309"/>
      <c r="AB7278" s="310"/>
    </row>
    <row r="7279" spans="13:28" s="308" customFormat="1" x14ac:dyDescent="0.2">
      <c r="M7279" s="309"/>
      <c r="AB7279" s="310"/>
    </row>
    <row r="7280" spans="13:28" s="308" customFormat="1" x14ac:dyDescent="0.2">
      <c r="M7280" s="309"/>
      <c r="AB7280" s="310"/>
    </row>
    <row r="7281" spans="13:28" s="308" customFormat="1" x14ac:dyDescent="0.2">
      <c r="M7281" s="309"/>
      <c r="AB7281" s="310"/>
    </row>
    <row r="7282" spans="13:28" s="308" customFormat="1" x14ac:dyDescent="0.2">
      <c r="M7282" s="309"/>
      <c r="AB7282" s="310"/>
    </row>
    <row r="7283" spans="13:28" s="308" customFormat="1" x14ac:dyDescent="0.2">
      <c r="M7283" s="309"/>
      <c r="AB7283" s="310"/>
    </row>
    <row r="7284" spans="13:28" s="308" customFormat="1" x14ac:dyDescent="0.2">
      <c r="M7284" s="309"/>
      <c r="AB7284" s="310"/>
    </row>
    <row r="7285" spans="13:28" s="308" customFormat="1" x14ac:dyDescent="0.2">
      <c r="M7285" s="309"/>
      <c r="AB7285" s="310"/>
    </row>
    <row r="7286" spans="13:28" s="308" customFormat="1" x14ac:dyDescent="0.2">
      <c r="M7286" s="309"/>
      <c r="AB7286" s="310"/>
    </row>
    <row r="7287" spans="13:28" s="308" customFormat="1" x14ac:dyDescent="0.2">
      <c r="M7287" s="309"/>
      <c r="AB7287" s="310"/>
    </row>
    <row r="7288" spans="13:28" s="308" customFormat="1" x14ac:dyDescent="0.2">
      <c r="M7288" s="309"/>
      <c r="AB7288" s="310"/>
    </row>
    <row r="7289" spans="13:28" s="308" customFormat="1" x14ac:dyDescent="0.2">
      <c r="M7289" s="309"/>
      <c r="AB7289" s="310"/>
    </row>
    <row r="7290" spans="13:28" s="308" customFormat="1" x14ac:dyDescent="0.2">
      <c r="M7290" s="309"/>
      <c r="AB7290" s="310"/>
    </row>
    <row r="7291" spans="13:28" s="308" customFormat="1" x14ac:dyDescent="0.2">
      <c r="M7291" s="309"/>
      <c r="AB7291" s="310"/>
    </row>
    <row r="7292" spans="13:28" s="308" customFormat="1" x14ac:dyDescent="0.2">
      <c r="M7292" s="309"/>
      <c r="AB7292" s="310"/>
    </row>
    <row r="7293" spans="13:28" s="308" customFormat="1" x14ac:dyDescent="0.2">
      <c r="M7293" s="309"/>
      <c r="AB7293" s="310"/>
    </row>
    <row r="7294" spans="13:28" s="308" customFormat="1" x14ac:dyDescent="0.2">
      <c r="M7294" s="309"/>
      <c r="AB7294" s="310"/>
    </row>
    <row r="7295" spans="13:28" s="308" customFormat="1" x14ac:dyDescent="0.2">
      <c r="M7295" s="309"/>
      <c r="AB7295" s="310"/>
    </row>
    <row r="7296" spans="13:28" s="308" customFormat="1" x14ac:dyDescent="0.2">
      <c r="M7296" s="309"/>
      <c r="AB7296" s="310"/>
    </row>
    <row r="7297" spans="13:28" s="308" customFormat="1" x14ac:dyDescent="0.2">
      <c r="M7297" s="309"/>
      <c r="AB7297" s="310"/>
    </row>
    <row r="7298" spans="13:28" s="308" customFormat="1" x14ac:dyDescent="0.2">
      <c r="M7298" s="309"/>
      <c r="AB7298" s="310"/>
    </row>
    <row r="7299" spans="13:28" s="308" customFormat="1" x14ac:dyDescent="0.2">
      <c r="M7299" s="309"/>
      <c r="AB7299" s="310"/>
    </row>
    <row r="7300" spans="13:28" s="308" customFormat="1" x14ac:dyDescent="0.2">
      <c r="M7300" s="309"/>
      <c r="AB7300" s="310"/>
    </row>
    <row r="7301" spans="13:28" s="308" customFormat="1" x14ac:dyDescent="0.2">
      <c r="M7301" s="309"/>
      <c r="AB7301" s="310"/>
    </row>
    <row r="7302" spans="13:28" s="308" customFormat="1" x14ac:dyDescent="0.2">
      <c r="M7302" s="309"/>
      <c r="AB7302" s="310"/>
    </row>
    <row r="7303" spans="13:28" s="308" customFormat="1" x14ac:dyDescent="0.2">
      <c r="M7303" s="309"/>
      <c r="AB7303" s="310"/>
    </row>
    <row r="7304" spans="13:28" s="308" customFormat="1" x14ac:dyDescent="0.2">
      <c r="M7304" s="309"/>
      <c r="AB7304" s="310"/>
    </row>
    <row r="7305" spans="13:28" s="308" customFormat="1" x14ac:dyDescent="0.2">
      <c r="M7305" s="309"/>
      <c r="AB7305" s="310"/>
    </row>
    <row r="7306" spans="13:28" s="308" customFormat="1" x14ac:dyDescent="0.2">
      <c r="M7306" s="309"/>
      <c r="AB7306" s="310"/>
    </row>
    <row r="7307" spans="13:28" s="308" customFormat="1" x14ac:dyDescent="0.2">
      <c r="M7307" s="309"/>
      <c r="AB7307" s="310"/>
    </row>
    <row r="7308" spans="13:28" s="308" customFormat="1" x14ac:dyDescent="0.2">
      <c r="M7308" s="309"/>
      <c r="AB7308" s="310"/>
    </row>
    <row r="7309" spans="13:28" s="308" customFormat="1" x14ac:dyDescent="0.2">
      <c r="M7309" s="309"/>
      <c r="AB7309" s="310"/>
    </row>
    <row r="7310" spans="13:28" s="308" customFormat="1" x14ac:dyDescent="0.2">
      <c r="M7310" s="309"/>
      <c r="AB7310" s="310"/>
    </row>
    <row r="7311" spans="13:28" s="308" customFormat="1" x14ac:dyDescent="0.2">
      <c r="M7311" s="309"/>
      <c r="AB7311" s="310"/>
    </row>
    <row r="7312" spans="13:28" s="308" customFormat="1" x14ac:dyDescent="0.2">
      <c r="M7312" s="309"/>
      <c r="AB7312" s="310"/>
    </row>
    <row r="7313" spans="13:28" s="308" customFormat="1" x14ac:dyDescent="0.2">
      <c r="M7313" s="309"/>
      <c r="AB7313" s="310"/>
    </row>
    <row r="7314" spans="13:28" s="308" customFormat="1" x14ac:dyDescent="0.2">
      <c r="M7314" s="309"/>
      <c r="AB7314" s="310"/>
    </row>
    <row r="7315" spans="13:28" s="308" customFormat="1" x14ac:dyDescent="0.2">
      <c r="M7315" s="309"/>
      <c r="AB7315" s="310"/>
    </row>
    <row r="7316" spans="13:28" s="308" customFormat="1" x14ac:dyDescent="0.2">
      <c r="M7316" s="309"/>
      <c r="AB7316" s="310"/>
    </row>
    <row r="7317" spans="13:28" s="308" customFormat="1" x14ac:dyDescent="0.2">
      <c r="M7317" s="309"/>
      <c r="AB7317" s="310"/>
    </row>
    <row r="7318" spans="13:28" s="308" customFormat="1" x14ac:dyDescent="0.2">
      <c r="M7318" s="309"/>
      <c r="AB7318" s="310"/>
    </row>
    <row r="7319" spans="13:28" s="308" customFormat="1" x14ac:dyDescent="0.2">
      <c r="M7319" s="309"/>
      <c r="AB7319" s="310"/>
    </row>
    <row r="7320" spans="13:28" s="308" customFormat="1" x14ac:dyDescent="0.2">
      <c r="M7320" s="309"/>
      <c r="AB7320" s="310"/>
    </row>
    <row r="7321" spans="13:28" s="308" customFormat="1" x14ac:dyDescent="0.2">
      <c r="M7321" s="309"/>
      <c r="AB7321" s="310"/>
    </row>
    <row r="7322" spans="13:28" s="308" customFormat="1" x14ac:dyDescent="0.2">
      <c r="M7322" s="309"/>
      <c r="AB7322" s="310"/>
    </row>
    <row r="7323" spans="13:28" s="308" customFormat="1" x14ac:dyDescent="0.2">
      <c r="M7323" s="309"/>
      <c r="AB7323" s="310"/>
    </row>
    <row r="7324" spans="13:28" s="308" customFormat="1" x14ac:dyDescent="0.2">
      <c r="M7324" s="309"/>
      <c r="AB7324" s="310"/>
    </row>
    <row r="7325" spans="13:28" s="308" customFormat="1" x14ac:dyDescent="0.2">
      <c r="M7325" s="309"/>
      <c r="AB7325" s="310"/>
    </row>
    <row r="7326" spans="13:28" s="308" customFormat="1" x14ac:dyDescent="0.2">
      <c r="M7326" s="309"/>
      <c r="AB7326" s="310"/>
    </row>
    <row r="7327" spans="13:28" s="308" customFormat="1" x14ac:dyDescent="0.2">
      <c r="M7327" s="309"/>
      <c r="AB7327" s="310"/>
    </row>
    <row r="7328" spans="13:28" s="308" customFormat="1" x14ac:dyDescent="0.2">
      <c r="M7328" s="309"/>
      <c r="AB7328" s="310"/>
    </row>
    <row r="7329" spans="13:28" s="308" customFormat="1" x14ac:dyDescent="0.2">
      <c r="M7329" s="309"/>
      <c r="AB7329" s="310"/>
    </row>
    <row r="7330" spans="13:28" s="308" customFormat="1" x14ac:dyDescent="0.2">
      <c r="M7330" s="309"/>
      <c r="AB7330" s="310"/>
    </row>
    <row r="7331" spans="13:28" s="308" customFormat="1" x14ac:dyDescent="0.2">
      <c r="M7331" s="309"/>
      <c r="AB7331" s="310"/>
    </row>
    <row r="7332" spans="13:28" s="308" customFormat="1" x14ac:dyDescent="0.2">
      <c r="M7332" s="309"/>
      <c r="AB7332" s="310"/>
    </row>
    <row r="7333" spans="13:28" s="308" customFormat="1" x14ac:dyDescent="0.2">
      <c r="M7333" s="309"/>
      <c r="AB7333" s="310"/>
    </row>
    <row r="7334" spans="13:28" s="308" customFormat="1" x14ac:dyDescent="0.2">
      <c r="M7334" s="309"/>
      <c r="AB7334" s="310"/>
    </row>
    <row r="7335" spans="13:28" s="308" customFormat="1" x14ac:dyDescent="0.2">
      <c r="M7335" s="309"/>
      <c r="AB7335" s="310"/>
    </row>
    <row r="7336" spans="13:28" s="308" customFormat="1" x14ac:dyDescent="0.2">
      <c r="M7336" s="309"/>
      <c r="AB7336" s="310"/>
    </row>
    <row r="7337" spans="13:28" s="308" customFormat="1" x14ac:dyDescent="0.2">
      <c r="M7337" s="309"/>
      <c r="AB7337" s="310"/>
    </row>
    <row r="7338" spans="13:28" s="308" customFormat="1" x14ac:dyDescent="0.2">
      <c r="M7338" s="309"/>
      <c r="AB7338" s="310"/>
    </row>
    <row r="7339" spans="13:28" s="308" customFormat="1" x14ac:dyDescent="0.2">
      <c r="M7339" s="309"/>
      <c r="AB7339" s="310"/>
    </row>
    <row r="7340" spans="13:28" s="308" customFormat="1" x14ac:dyDescent="0.2">
      <c r="M7340" s="309"/>
      <c r="AB7340" s="310"/>
    </row>
    <row r="7341" spans="13:28" s="308" customFormat="1" x14ac:dyDescent="0.2">
      <c r="M7341" s="309"/>
      <c r="AB7341" s="310"/>
    </row>
    <row r="7342" spans="13:28" s="308" customFormat="1" x14ac:dyDescent="0.2">
      <c r="M7342" s="309"/>
      <c r="AB7342" s="310"/>
    </row>
    <row r="7343" spans="13:28" s="308" customFormat="1" x14ac:dyDescent="0.2">
      <c r="M7343" s="309"/>
      <c r="AB7343" s="310"/>
    </row>
    <row r="7344" spans="13:28" s="308" customFormat="1" x14ac:dyDescent="0.2">
      <c r="M7344" s="309"/>
      <c r="AB7344" s="310"/>
    </row>
    <row r="7345" spans="13:28" s="308" customFormat="1" x14ac:dyDescent="0.2">
      <c r="M7345" s="309"/>
      <c r="AB7345" s="310"/>
    </row>
    <row r="7346" spans="13:28" s="308" customFormat="1" x14ac:dyDescent="0.2">
      <c r="M7346" s="309"/>
      <c r="AB7346" s="310"/>
    </row>
    <row r="7347" spans="13:28" s="308" customFormat="1" x14ac:dyDescent="0.2">
      <c r="M7347" s="309"/>
      <c r="AB7347" s="310"/>
    </row>
    <row r="7348" spans="13:28" s="308" customFormat="1" x14ac:dyDescent="0.2">
      <c r="M7348" s="309"/>
      <c r="AB7348" s="310"/>
    </row>
    <row r="7349" spans="13:28" s="308" customFormat="1" x14ac:dyDescent="0.2">
      <c r="M7349" s="309"/>
      <c r="AB7349" s="310"/>
    </row>
    <row r="7350" spans="13:28" s="308" customFormat="1" x14ac:dyDescent="0.2">
      <c r="M7350" s="309"/>
      <c r="AB7350" s="310"/>
    </row>
    <row r="7351" spans="13:28" s="308" customFormat="1" x14ac:dyDescent="0.2">
      <c r="M7351" s="309"/>
      <c r="AB7351" s="310"/>
    </row>
    <row r="7352" spans="13:28" s="308" customFormat="1" x14ac:dyDescent="0.2">
      <c r="M7352" s="309"/>
      <c r="AB7352" s="310"/>
    </row>
    <row r="7353" spans="13:28" s="308" customFormat="1" x14ac:dyDescent="0.2">
      <c r="M7353" s="309"/>
      <c r="AB7353" s="310"/>
    </row>
    <row r="7354" spans="13:28" s="308" customFormat="1" x14ac:dyDescent="0.2">
      <c r="M7354" s="309"/>
      <c r="AB7354" s="310"/>
    </row>
    <row r="7355" spans="13:28" s="308" customFormat="1" x14ac:dyDescent="0.2">
      <c r="M7355" s="309"/>
      <c r="AB7355" s="310"/>
    </row>
    <row r="7356" spans="13:28" s="308" customFormat="1" x14ac:dyDescent="0.2">
      <c r="M7356" s="309"/>
      <c r="AB7356" s="310"/>
    </row>
    <row r="7357" spans="13:28" s="308" customFormat="1" x14ac:dyDescent="0.2">
      <c r="M7357" s="309"/>
      <c r="AB7357" s="310"/>
    </row>
    <row r="7358" spans="13:28" s="308" customFormat="1" x14ac:dyDescent="0.2">
      <c r="M7358" s="309"/>
      <c r="AB7358" s="310"/>
    </row>
    <row r="7359" spans="13:28" s="308" customFormat="1" x14ac:dyDescent="0.2">
      <c r="M7359" s="309"/>
      <c r="AB7359" s="310"/>
    </row>
    <row r="7360" spans="13:28" s="308" customFormat="1" x14ac:dyDescent="0.2">
      <c r="M7360" s="309"/>
      <c r="AB7360" s="310"/>
    </row>
    <row r="7361" spans="13:28" s="308" customFormat="1" x14ac:dyDescent="0.2">
      <c r="M7361" s="309"/>
      <c r="AB7361" s="310"/>
    </row>
    <row r="7362" spans="13:28" s="308" customFormat="1" x14ac:dyDescent="0.2">
      <c r="M7362" s="309"/>
      <c r="AB7362" s="310"/>
    </row>
    <row r="7363" spans="13:28" s="308" customFormat="1" x14ac:dyDescent="0.2">
      <c r="M7363" s="309"/>
      <c r="AB7363" s="310"/>
    </row>
    <row r="7364" spans="13:28" s="308" customFormat="1" x14ac:dyDescent="0.2">
      <c r="M7364" s="309"/>
      <c r="AB7364" s="310"/>
    </row>
    <row r="7365" spans="13:28" s="308" customFormat="1" x14ac:dyDescent="0.2">
      <c r="M7365" s="309"/>
      <c r="AB7365" s="310"/>
    </row>
    <row r="7366" spans="13:28" s="308" customFormat="1" x14ac:dyDescent="0.2">
      <c r="M7366" s="309"/>
      <c r="AB7366" s="310"/>
    </row>
    <row r="7367" spans="13:28" s="308" customFormat="1" x14ac:dyDescent="0.2">
      <c r="M7367" s="309"/>
      <c r="AB7367" s="310"/>
    </row>
    <row r="7368" spans="13:28" s="308" customFormat="1" x14ac:dyDescent="0.2">
      <c r="M7368" s="309"/>
      <c r="AB7368" s="310"/>
    </row>
    <row r="7369" spans="13:28" s="308" customFormat="1" x14ac:dyDescent="0.2">
      <c r="M7369" s="309"/>
      <c r="AB7369" s="310"/>
    </row>
    <row r="7370" spans="13:28" s="308" customFormat="1" x14ac:dyDescent="0.2">
      <c r="M7370" s="309"/>
      <c r="AB7370" s="310"/>
    </row>
    <row r="7371" spans="13:28" s="308" customFormat="1" x14ac:dyDescent="0.2">
      <c r="M7371" s="309"/>
      <c r="AB7371" s="310"/>
    </row>
    <row r="7372" spans="13:28" s="308" customFormat="1" x14ac:dyDescent="0.2">
      <c r="M7372" s="309"/>
      <c r="AB7372" s="310"/>
    </row>
    <row r="7373" spans="13:28" s="308" customFormat="1" x14ac:dyDescent="0.2">
      <c r="M7373" s="309"/>
      <c r="AB7373" s="310"/>
    </row>
    <row r="7374" spans="13:28" s="308" customFormat="1" x14ac:dyDescent="0.2">
      <c r="M7374" s="309"/>
      <c r="AB7374" s="310"/>
    </row>
    <row r="7375" spans="13:28" s="308" customFormat="1" x14ac:dyDescent="0.2">
      <c r="M7375" s="309"/>
      <c r="AB7375" s="310"/>
    </row>
    <row r="7376" spans="13:28" s="308" customFormat="1" x14ac:dyDescent="0.2">
      <c r="M7376" s="309"/>
      <c r="AB7376" s="310"/>
    </row>
    <row r="7377" spans="13:28" s="308" customFormat="1" x14ac:dyDescent="0.2">
      <c r="M7377" s="309"/>
      <c r="AB7377" s="310"/>
    </row>
    <row r="7378" spans="13:28" s="308" customFormat="1" x14ac:dyDescent="0.2">
      <c r="M7378" s="309"/>
      <c r="AB7378" s="310"/>
    </row>
    <row r="7379" spans="13:28" s="308" customFormat="1" x14ac:dyDescent="0.2">
      <c r="M7379" s="309"/>
      <c r="AB7379" s="310"/>
    </row>
    <row r="7380" spans="13:28" s="308" customFormat="1" x14ac:dyDescent="0.2">
      <c r="M7380" s="309"/>
      <c r="AB7380" s="310"/>
    </row>
    <row r="7381" spans="13:28" s="308" customFormat="1" x14ac:dyDescent="0.2">
      <c r="M7381" s="309"/>
      <c r="AB7381" s="310"/>
    </row>
    <row r="7382" spans="13:28" s="308" customFormat="1" x14ac:dyDescent="0.2">
      <c r="M7382" s="309"/>
      <c r="AB7382" s="310"/>
    </row>
    <row r="7383" spans="13:28" s="308" customFormat="1" x14ac:dyDescent="0.2">
      <c r="M7383" s="309"/>
      <c r="AB7383" s="310"/>
    </row>
    <row r="7384" spans="13:28" s="308" customFormat="1" x14ac:dyDescent="0.2">
      <c r="M7384" s="309"/>
      <c r="AB7384" s="310"/>
    </row>
    <row r="7385" spans="13:28" s="308" customFormat="1" x14ac:dyDescent="0.2">
      <c r="M7385" s="309"/>
      <c r="AB7385" s="310"/>
    </row>
    <row r="7386" spans="13:28" s="308" customFormat="1" x14ac:dyDescent="0.2">
      <c r="M7386" s="309"/>
      <c r="AB7386" s="310"/>
    </row>
    <row r="7387" spans="13:28" s="308" customFormat="1" x14ac:dyDescent="0.2">
      <c r="M7387" s="309"/>
      <c r="AB7387" s="310"/>
    </row>
    <row r="7388" spans="13:28" s="308" customFormat="1" x14ac:dyDescent="0.2">
      <c r="M7388" s="309"/>
      <c r="AB7388" s="310"/>
    </row>
    <row r="7389" spans="13:28" s="308" customFormat="1" x14ac:dyDescent="0.2">
      <c r="M7389" s="309"/>
      <c r="AB7389" s="310"/>
    </row>
    <row r="7390" spans="13:28" s="308" customFormat="1" x14ac:dyDescent="0.2">
      <c r="M7390" s="309"/>
      <c r="AB7390" s="310"/>
    </row>
    <row r="7391" spans="13:28" s="308" customFormat="1" x14ac:dyDescent="0.2">
      <c r="M7391" s="309"/>
      <c r="AB7391" s="310"/>
    </row>
    <row r="7392" spans="13:28" s="308" customFormat="1" x14ac:dyDescent="0.2">
      <c r="M7392" s="309"/>
      <c r="AB7392" s="310"/>
    </row>
    <row r="7393" spans="13:28" s="308" customFormat="1" x14ac:dyDescent="0.2">
      <c r="M7393" s="309"/>
      <c r="AB7393" s="310"/>
    </row>
    <row r="7394" spans="13:28" s="308" customFormat="1" x14ac:dyDescent="0.2">
      <c r="M7394" s="309"/>
      <c r="AB7394" s="310"/>
    </row>
    <row r="7395" spans="13:28" s="308" customFormat="1" x14ac:dyDescent="0.2">
      <c r="M7395" s="309"/>
      <c r="AB7395" s="310"/>
    </row>
    <row r="7396" spans="13:28" s="308" customFormat="1" x14ac:dyDescent="0.2">
      <c r="M7396" s="309"/>
      <c r="AB7396" s="310"/>
    </row>
    <row r="7397" spans="13:28" s="308" customFormat="1" x14ac:dyDescent="0.2">
      <c r="M7397" s="309"/>
      <c r="AB7397" s="310"/>
    </row>
    <row r="7398" spans="13:28" s="308" customFormat="1" x14ac:dyDescent="0.2">
      <c r="M7398" s="309"/>
      <c r="AB7398" s="310"/>
    </row>
    <row r="7399" spans="13:28" s="308" customFormat="1" x14ac:dyDescent="0.2">
      <c r="M7399" s="309"/>
      <c r="AB7399" s="310"/>
    </row>
    <row r="7400" spans="13:28" s="308" customFormat="1" x14ac:dyDescent="0.2">
      <c r="M7400" s="309"/>
      <c r="AB7400" s="310"/>
    </row>
    <row r="7401" spans="13:28" s="308" customFormat="1" x14ac:dyDescent="0.2">
      <c r="M7401" s="309"/>
      <c r="AB7401" s="310"/>
    </row>
    <row r="7402" spans="13:28" s="308" customFormat="1" x14ac:dyDescent="0.2">
      <c r="M7402" s="309"/>
      <c r="AB7402" s="310"/>
    </row>
    <row r="7403" spans="13:28" s="308" customFormat="1" x14ac:dyDescent="0.2">
      <c r="M7403" s="309"/>
      <c r="AB7403" s="310"/>
    </row>
    <row r="7404" spans="13:28" s="308" customFormat="1" x14ac:dyDescent="0.2">
      <c r="M7404" s="309"/>
      <c r="AB7404" s="310"/>
    </row>
    <row r="7405" spans="13:28" s="308" customFormat="1" x14ac:dyDescent="0.2">
      <c r="M7405" s="309"/>
      <c r="AB7405" s="310"/>
    </row>
    <row r="7406" spans="13:28" s="308" customFormat="1" x14ac:dyDescent="0.2">
      <c r="M7406" s="309"/>
      <c r="AB7406" s="310"/>
    </row>
    <row r="7407" spans="13:28" s="308" customFormat="1" x14ac:dyDescent="0.2">
      <c r="M7407" s="309"/>
      <c r="AB7407" s="310"/>
    </row>
    <row r="7408" spans="13:28" s="308" customFormat="1" x14ac:dyDescent="0.2">
      <c r="M7408" s="309"/>
      <c r="AB7408" s="310"/>
    </row>
    <row r="7409" spans="13:28" s="308" customFormat="1" x14ac:dyDescent="0.2">
      <c r="M7409" s="309"/>
      <c r="AB7409" s="310"/>
    </row>
    <row r="7410" spans="13:28" s="308" customFormat="1" x14ac:dyDescent="0.2">
      <c r="M7410" s="309"/>
      <c r="AB7410" s="310"/>
    </row>
    <row r="7411" spans="13:28" s="308" customFormat="1" x14ac:dyDescent="0.2">
      <c r="M7411" s="309"/>
      <c r="AB7411" s="310"/>
    </row>
    <row r="7412" spans="13:28" s="308" customFormat="1" x14ac:dyDescent="0.2">
      <c r="M7412" s="309"/>
      <c r="AB7412" s="310"/>
    </row>
    <row r="7413" spans="13:28" s="308" customFormat="1" x14ac:dyDescent="0.2">
      <c r="M7413" s="309"/>
      <c r="AB7413" s="310"/>
    </row>
    <row r="7414" spans="13:28" s="308" customFormat="1" x14ac:dyDescent="0.2">
      <c r="M7414" s="309"/>
      <c r="AB7414" s="310"/>
    </row>
    <row r="7415" spans="13:28" s="308" customFormat="1" x14ac:dyDescent="0.2">
      <c r="M7415" s="309"/>
      <c r="AB7415" s="310"/>
    </row>
    <row r="7416" spans="13:28" s="308" customFormat="1" x14ac:dyDescent="0.2">
      <c r="M7416" s="309"/>
      <c r="AB7416" s="310"/>
    </row>
    <row r="7417" spans="13:28" s="308" customFormat="1" x14ac:dyDescent="0.2">
      <c r="M7417" s="309"/>
      <c r="AB7417" s="310"/>
    </row>
    <row r="7418" spans="13:28" s="308" customFormat="1" x14ac:dyDescent="0.2">
      <c r="M7418" s="309"/>
      <c r="AB7418" s="310"/>
    </row>
    <row r="7419" spans="13:28" s="308" customFormat="1" x14ac:dyDescent="0.2">
      <c r="M7419" s="309"/>
      <c r="AB7419" s="310"/>
    </row>
    <row r="7420" spans="13:28" s="308" customFormat="1" x14ac:dyDescent="0.2">
      <c r="M7420" s="309"/>
      <c r="AB7420" s="310"/>
    </row>
    <row r="7421" spans="13:28" s="308" customFormat="1" x14ac:dyDescent="0.2">
      <c r="M7421" s="309"/>
      <c r="AB7421" s="310"/>
    </row>
    <row r="7422" spans="13:28" s="308" customFormat="1" x14ac:dyDescent="0.2">
      <c r="M7422" s="309"/>
      <c r="AB7422" s="310"/>
    </row>
    <row r="7423" spans="13:28" s="308" customFormat="1" x14ac:dyDescent="0.2">
      <c r="M7423" s="309"/>
      <c r="AB7423" s="310"/>
    </row>
    <row r="7424" spans="13:28" s="308" customFormat="1" x14ac:dyDescent="0.2">
      <c r="M7424" s="309"/>
      <c r="AB7424" s="310"/>
    </row>
    <row r="7425" spans="13:28" s="308" customFormat="1" x14ac:dyDescent="0.2">
      <c r="M7425" s="309"/>
      <c r="AB7425" s="310"/>
    </row>
    <row r="7426" spans="13:28" s="308" customFormat="1" x14ac:dyDescent="0.2">
      <c r="M7426" s="309"/>
      <c r="AB7426" s="310"/>
    </row>
    <row r="7427" spans="13:28" s="308" customFormat="1" x14ac:dyDescent="0.2">
      <c r="M7427" s="309"/>
      <c r="AB7427" s="310"/>
    </row>
    <row r="7428" spans="13:28" s="308" customFormat="1" x14ac:dyDescent="0.2">
      <c r="M7428" s="309"/>
      <c r="AB7428" s="310"/>
    </row>
    <row r="7429" spans="13:28" s="308" customFormat="1" x14ac:dyDescent="0.2">
      <c r="M7429" s="309"/>
      <c r="AB7429" s="310"/>
    </row>
    <row r="7430" spans="13:28" s="308" customFormat="1" x14ac:dyDescent="0.2">
      <c r="M7430" s="309"/>
      <c r="AB7430" s="310"/>
    </row>
    <row r="7431" spans="13:28" s="308" customFormat="1" x14ac:dyDescent="0.2">
      <c r="M7431" s="309"/>
      <c r="AB7431" s="310"/>
    </row>
    <row r="7432" spans="13:28" s="308" customFormat="1" x14ac:dyDescent="0.2">
      <c r="M7432" s="309"/>
      <c r="AB7432" s="310"/>
    </row>
    <row r="7433" spans="13:28" s="308" customFormat="1" x14ac:dyDescent="0.2">
      <c r="M7433" s="309"/>
      <c r="AB7433" s="310"/>
    </row>
    <row r="7434" spans="13:28" s="308" customFormat="1" x14ac:dyDescent="0.2">
      <c r="M7434" s="309"/>
      <c r="AB7434" s="310"/>
    </row>
    <row r="7435" spans="13:28" s="308" customFormat="1" x14ac:dyDescent="0.2">
      <c r="M7435" s="309"/>
      <c r="AB7435" s="310"/>
    </row>
    <row r="7436" spans="13:28" s="308" customFormat="1" x14ac:dyDescent="0.2">
      <c r="M7436" s="309"/>
      <c r="AB7436" s="310"/>
    </row>
    <row r="7437" spans="13:28" s="308" customFormat="1" x14ac:dyDescent="0.2">
      <c r="M7437" s="309"/>
      <c r="AB7437" s="310"/>
    </row>
    <row r="7438" spans="13:28" s="308" customFormat="1" x14ac:dyDescent="0.2">
      <c r="M7438" s="309"/>
      <c r="AB7438" s="310"/>
    </row>
    <row r="7439" spans="13:28" s="308" customFormat="1" x14ac:dyDescent="0.2">
      <c r="M7439" s="309"/>
      <c r="AB7439" s="310"/>
    </row>
    <row r="7440" spans="13:28" s="308" customFormat="1" x14ac:dyDescent="0.2">
      <c r="M7440" s="309"/>
      <c r="AB7440" s="310"/>
    </row>
    <row r="7441" spans="13:28" s="308" customFormat="1" x14ac:dyDescent="0.2">
      <c r="M7441" s="309"/>
      <c r="AB7441" s="310"/>
    </row>
    <row r="7442" spans="13:28" s="308" customFormat="1" x14ac:dyDescent="0.2">
      <c r="M7442" s="309"/>
      <c r="AB7442" s="310"/>
    </row>
    <row r="7443" spans="13:28" s="308" customFormat="1" x14ac:dyDescent="0.2">
      <c r="M7443" s="309"/>
      <c r="AB7443" s="310"/>
    </row>
    <row r="7444" spans="13:28" s="308" customFormat="1" x14ac:dyDescent="0.2">
      <c r="M7444" s="309"/>
      <c r="AB7444" s="310"/>
    </row>
    <row r="7445" spans="13:28" s="308" customFormat="1" x14ac:dyDescent="0.2">
      <c r="M7445" s="309"/>
      <c r="AB7445" s="310"/>
    </row>
    <row r="7446" spans="13:28" s="308" customFormat="1" x14ac:dyDescent="0.2">
      <c r="M7446" s="309"/>
      <c r="AB7446" s="310"/>
    </row>
    <row r="7447" spans="13:28" s="308" customFormat="1" x14ac:dyDescent="0.2">
      <c r="M7447" s="309"/>
      <c r="AB7447" s="310"/>
    </row>
    <row r="7448" spans="13:28" s="308" customFormat="1" x14ac:dyDescent="0.2">
      <c r="M7448" s="309"/>
      <c r="AB7448" s="310"/>
    </row>
    <row r="7449" spans="13:28" s="308" customFormat="1" x14ac:dyDescent="0.2">
      <c r="M7449" s="309"/>
      <c r="AB7449" s="310"/>
    </row>
    <row r="7450" spans="13:28" s="308" customFormat="1" x14ac:dyDescent="0.2">
      <c r="M7450" s="309"/>
      <c r="AB7450" s="310"/>
    </row>
    <row r="7451" spans="13:28" s="308" customFormat="1" x14ac:dyDescent="0.2">
      <c r="M7451" s="309"/>
      <c r="AB7451" s="310"/>
    </row>
    <row r="7452" spans="13:28" s="308" customFormat="1" x14ac:dyDescent="0.2">
      <c r="M7452" s="309"/>
      <c r="AB7452" s="310"/>
    </row>
    <row r="7453" spans="13:28" s="308" customFormat="1" x14ac:dyDescent="0.2">
      <c r="M7453" s="309"/>
      <c r="AB7453" s="310"/>
    </row>
    <row r="7454" spans="13:28" s="308" customFormat="1" x14ac:dyDescent="0.2">
      <c r="M7454" s="309"/>
      <c r="AB7454" s="310"/>
    </row>
    <row r="7455" spans="13:28" s="308" customFormat="1" x14ac:dyDescent="0.2">
      <c r="M7455" s="309"/>
      <c r="AB7455" s="310"/>
    </row>
    <row r="7456" spans="13:28" s="308" customFormat="1" x14ac:dyDescent="0.2">
      <c r="M7456" s="309"/>
      <c r="AB7456" s="310"/>
    </row>
    <row r="7457" spans="13:28" s="308" customFormat="1" x14ac:dyDescent="0.2">
      <c r="M7457" s="309"/>
      <c r="AB7457" s="310"/>
    </row>
    <row r="7458" spans="13:28" s="308" customFormat="1" x14ac:dyDescent="0.2">
      <c r="M7458" s="309"/>
      <c r="AB7458" s="310"/>
    </row>
    <row r="7459" spans="13:28" s="308" customFormat="1" x14ac:dyDescent="0.2">
      <c r="M7459" s="309"/>
      <c r="AB7459" s="310"/>
    </row>
    <row r="7460" spans="13:28" s="308" customFormat="1" x14ac:dyDescent="0.2">
      <c r="M7460" s="309"/>
      <c r="AB7460" s="310"/>
    </row>
    <row r="7461" spans="13:28" s="308" customFormat="1" x14ac:dyDescent="0.2">
      <c r="M7461" s="309"/>
      <c r="AB7461" s="310"/>
    </row>
    <row r="7462" spans="13:28" s="308" customFormat="1" x14ac:dyDescent="0.2">
      <c r="M7462" s="309"/>
      <c r="AB7462" s="310"/>
    </row>
    <row r="7463" spans="13:28" s="308" customFormat="1" x14ac:dyDescent="0.2">
      <c r="M7463" s="309"/>
      <c r="AB7463" s="310"/>
    </row>
    <row r="7464" spans="13:28" s="308" customFormat="1" x14ac:dyDescent="0.2">
      <c r="M7464" s="309"/>
      <c r="AB7464" s="310"/>
    </row>
    <row r="7465" spans="13:28" s="308" customFormat="1" x14ac:dyDescent="0.2">
      <c r="M7465" s="309"/>
      <c r="AB7465" s="310"/>
    </row>
    <row r="7466" spans="13:28" s="308" customFormat="1" x14ac:dyDescent="0.2">
      <c r="M7466" s="309"/>
      <c r="AB7466" s="310"/>
    </row>
    <row r="7467" spans="13:28" s="308" customFormat="1" x14ac:dyDescent="0.2">
      <c r="M7467" s="309"/>
      <c r="AB7467" s="310"/>
    </row>
    <row r="7468" spans="13:28" s="308" customFormat="1" x14ac:dyDescent="0.2">
      <c r="M7468" s="309"/>
      <c r="AB7468" s="310"/>
    </row>
    <row r="7469" spans="13:28" s="308" customFormat="1" x14ac:dyDescent="0.2">
      <c r="M7469" s="309"/>
      <c r="AB7469" s="310"/>
    </row>
    <row r="7470" spans="13:28" s="308" customFormat="1" x14ac:dyDescent="0.2">
      <c r="M7470" s="309"/>
      <c r="AB7470" s="310"/>
    </row>
    <row r="7471" spans="13:28" s="308" customFormat="1" x14ac:dyDescent="0.2">
      <c r="M7471" s="309"/>
      <c r="AB7471" s="310"/>
    </row>
    <row r="7472" spans="13:28" s="308" customFormat="1" x14ac:dyDescent="0.2">
      <c r="M7472" s="309"/>
      <c r="AB7472" s="310"/>
    </row>
    <row r="7473" spans="13:28" s="308" customFormat="1" x14ac:dyDescent="0.2">
      <c r="M7473" s="309"/>
      <c r="AB7473" s="310"/>
    </row>
    <row r="7474" spans="13:28" s="308" customFormat="1" x14ac:dyDescent="0.2">
      <c r="M7474" s="309"/>
      <c r="AB7474" s="310"/>
    </row>
    <row r="7475" spans="13:28" s="308" customFormat="1" x14ac:dyDescent="0.2">
      <c r="M7475" s="309"/>
      <c r="AB7475" s="310"/>
    </row>
    <row r="7476" spans="13:28" s="308" customFormat="1" x14ac:dyDescent="0.2">
      <c r="M7476" s="309"/>
      <c r="AB7476" s="310"/>
    </row>
    <row r="7477" spans="13:28" s="308" customFormat="1" x14ac:dyDescent="0.2">
      <c r="M7477" s="309"/>
      <c r="AB7477" s="310"/>
    </row>
    <row r="7478" spans="13:28" s="308" customFormat="1" x14ac:dyDescent="0.2">
      <c r="M7478" s="309"/>
      <c r="AB7478" s="310"/>
    </row>
    <row r="7479" spans="13:28" s="308" customFormat="1" x14ac:dyDescent="0.2">
      <c r="M7479" s="309"/>
      <c r="AB7479" s="310"/>
    </row>
    <row r="7480" spans="13:28" s="308" customFormat="1" x14ac:dyDescent="0.2">
      <c r="M7480" s="309"/>
      <c r="AB7480" s="310"/>
    </row>
    <row r="7481" spans="13:28" s="308" customFormat="1" x14ac:dyDescent="0.2">
      <c r="M7481" s="309"/>
      <c r="AB7481" s="310"/>
    </row>
    <row r="7482" spans="13:28" s="308" customFormat="1" x14ac:dyDescent="0.2">
      <c r="M7482" s="309"/>
      <c r="AB7482" s="310"/>
    </row>
    <row r="7483" spans="13:28" s="308" customFormat="1" x14ac:dyDescent="0.2">
      <c r="M7483" s="309"/>
      <c r="AB7483" s="310"/>
    </row>
    <row r="7484" spans="13:28" s="308" customFormat="1" x14ac:dyDescent="0.2">
      <c r="M7484" s="309"/>
      <c r="AB7484" s="310"/>
    </row>
    <row r="7485" spans="13:28" s="308" customFormat="1" x14ac:dyDescent="0.2">
      <c r="M7485" s="309"/>
      <c r="AB7485" s="310"/>
    </row>
    <row r="7486" spans="13:28" s="308" customFormat="1" x14ac:dyDescent="0.2">
      <c r="M7486" s="309"/>
      <c r="AB7486" s="310"/>
    </row>
    <row r="7487" spans="13:28" s="308" customFormat="1" x14ac:dyDescent="0.2">
      <c r="M7487" s="309"/>
      <c r="AB7487" s="310"/>
    </row>
    <row r="7488" spans="13:28" s="308" customFormat="1" x14ac:dyDescent="0.2">
      <c r="M7488" s="309"/>
      <c r="AB7488" s="310"/>
    </row>
    <row r="7489" spans="13:28" s="308" customFormat="1" x14ac:dyDescent="0.2">
      <c r="M7489" s="309"/>
      <c r="AB7489" s="310"/>
    </row>
    <row r="7490" spans="13:28" s="308" customFormat="1" x14ac:dyDescent="0.2">
      <c r="M7490" s="309"/>
      <c r="AB7490" s="310"/>
    </row>
    <row r="7491" spans="13:28" s="308" customFormat="1" x14ac:dyDescent="0.2">
      <c r="M7491" s="309"/>
      <c r="AB7491" s="310"/>
    </row>
    <row r="7492" spans="13:28" s="308" customFormat="1" x14ac:dyDescent="0.2">
      <c r="M7492" s="309"/>
      <c r="AB7492" s="310"/>
    </row>
    <row r="7493" spans="13:28" s="308" customFormat="1" x14ac:dyDescent="0.2">
      <c r="M7493" s="309"/>
      <c r="AB7493" s="310"/>
    </row>
    <row r="7494" spans="13:28" s="308" customFormat="1" x14ac:dyDescent="0.2">
      <c r="M7494" s="309"/>
      <c r="AB7494" s="310"/>
    </row>
    <row r="7495" spans="13:28" s="308" customFormat="1" x14ac:dyDescent="0.2">
      <c r="M7495" s="309"/>
      <c r="AB7495" s="310"/>
    </row>
    <row r="7496" spans="13:28" s="308" customFormat="1" x14ac:dyDescent="0.2">
      <c r="M7496" s="309"/>
      <c r="AB7496" s="310"/>
    </row>
    <row r="7497" spans="13:28" s="308" customFormat="1" x14ac:dyDescent="0.2">
      <c r="M7497" s="309"/>
      <c r="AB7497" s="310"/>
    </row>
    <row r="7498" spans="13:28" s="308" customFormat="1" x14ac:dyDescent="0.2">
      <c r="M7498" s="309"/>
      <c r="AB7498" s="310"/>
    </row>
    <row r="7499" spans="13:28" s="308" customFormat="1" x14ac:dyDescent="0.2">
      <c r="M7499" s="309"/>
      <c r="AB7499" s="310"/>
    </row>
    <row r="7500" spans="13:28" s="308" customFormat="1" x14ac:dyDescent="0.2">
      <c r="M7500" s="309"/>
      <c r="AB7500" s="310"/>
    </row>
    <row r="7501" spans="13:28" s="308" customFormat="1" x14ac:dyDescent="0.2">
      <c r="M7501" s="309"/>
      <c r="AB7501" s="310"/>
    </row>
    <row r="7502" spans="13:28" s="308" customFormat="1" x14ac:dyDescent="0.2">
      <c r="M7502" s="309"/>
      <c r="AB7502" s="310"/>
    </row>
    <row r="7503" spans="13:28" s="308" customFormat="1" x14ac:dyDescent="0.2">
      <c r="M7503" s="309"/>
      <c r="AB7503" s="310"/>
    </row>
    <row r="7504" spans="13:28" s="308" customFormat="1" x14ac:dyDescent="0.2">
      <c r="M7504" s="309"/>
      <c r="AB7504" s="310"/>
    </row>
    <row r="7505" spans="13:28" s="308" customFormat="1" x14ac:dyDescent="0.2">
      <c r="M7505" s="309"/>
      <c r="AB7505" s="310"/>
    </row>
    <row r="7506" spans="13:28" s="308" customFormat="1" x14ac:dyDescent="0.2">
      <c r="M7506" s="309"/>
      <c r="AB7506" s="310"/>
    </row>
    <row r="7507" spans="13:28" s="308" customFormat="1" x14ac:dyDescent="0.2">
      <c r="M7507" s="309"/>
      <c r="AB7507" s="310"/>
    </row>
    <row r="7508" spans="13:28" s="308" customFormat="1" x14ac:dyDescent="0.2">
      <c r="M7508" s="309"/>
      <c r="AB7508" s="310"/>
    </row>
    <row r="7509" spans="13:28" s="308" customFormat="1" x14ac:dyDescent="0.2">
      <c r="M7509" s="309"/>
      <c r="AB7509" s="310"/>
    </row>
    <row r="7510" spans="13:28" s="308" customFormat="1" x14ac:dyDescent="0.2">
      <c r="M7510" s="309"/>
      <c r="AB7510" s="310"/>
    </row>
    <row r="7511" spans="13:28" s="308" customFormat="1" x14ac:dyDescent="0.2">
      <c r="M7511" s="309"/>
      <c r="AB7511" s="310"/>
    </row>
    <row r="7512" spans="13:28" s="308" customFormat="1" x14ac:dyDescent="0.2">
      <c r="M7512" s="309"/>
      <c r="AB7512" s="310"/>
    </row>
    <row r="7513" spans="13:28" s="308" customFormat="1" x14ac:dyDescent="0.2">
      <c r="M7513" s="309"/>
      <c r="AB7513" s="310"/>
    </row>
    <row r="7514" spans="13:28" s="308" customFormat="1" x14ac:dyDescent="0.2">
      <c r="M7514" s="309"/>
      <c r="AB7514" s="310"/>
    </row>
    <row r="7515" spans="13:28" s="308" customFormat="1" x14ac:dyDescent="0.2">
      <c r="M7515" s="309"/>
      <c r="AB7515" s="310"/>
    </row>
    <row r="7516" spans="13:28" s="308" customFormat="1" x14ac:dyDescent="0.2">
      <c r="M7516" s="309"/>
      <c r="AB7516" s="310"/>
    </row>
    <row r="7517" spans="13:28" s="308" customFormat="1" x14ac:dyDescent="0.2">
      <c r="M7517" s="309"/>
      <c r="AB7517" s="310"/>
    </row>
    <row r="7518" spans="13:28" s="308" customFormat="1" x14ac:dyDescent="0.2">
      <c r="M7518" s="309"/>
      <c r="AB7518" s="310"/>
    </row>
    <row r="7519" spans="13:28" s="308" customFormat="1" x14ac:dyDescent="0.2">
      <c r="M7519" s="309"/>
      <c r="AB7519" s="310"/>
    </row>
    <row r="7520" spans="13:28" s="308" customFormat="1" x14ac:dyDescent="0.2">
      <c r="M7520" s="309"/>
      <c r="AB7520" s="310"/>
    </row>
    <row r="7521" spans="13:28" s="308" customFormat="1" x14ac:dyDescent="0.2">
      <c r="M7521" s="309"/>
      <c r="AB7521" s="310"/>
    </row>
    <row r="7522" spans="13:28" s="308" customFormat="1" x14ac:dyDescent="0.2">
      <c r="M7522" s="309"/>
      <c r="AB7522" s="310"/>
    </row>
    <row r="7523" spans="13:28" s="308" customFormat="1" x14ac:dyDescent="0.2">
      <c r="M7523" s="309"/>
      <c r="AB7523" s="310"/>
    </row>
    <row r="7524" spans="13:28" s="308" customFormat="1" x14ac:dyDescent="0.2">
      <c r="M7524" s="309"/>
      <c r="AB7524" s="310"/>
    </row>
    <row r="7525" spans="13:28" s="308" customFormat="1" x14ac:dyDescent="0.2">
      <c r="M7525" s="309"/>
      <c r="AB7525" s="310"/>
    </row>
    <row r="7526" spans="13:28" s="308" customFormat="1" x14ac:dyDescent="0.2">
      <c r="M7526" s="309"/>
      <c r="AB7526" s="310"/>
    </row>
    <row r="7527" spans="13:28" s="308" customFormat="1" x14ac:dyDescent="0.2">
      <c r="M7527" s="309"/>
      <c r="AB7527" s="310"/>
    </row>
    <row r="7528" spans="13:28" s="308" customFormat="1" x14ac:dyDescent="0.2">
      <c r="M7528" s="309"/>
      <c r="AB7528" s="310"/>
    </row>
    <row r="7529" spans="13:28" s="308" customFormat="1" x14ac:dyDescent="0.2">
      <c r="M7529" s="309"/>
      <c r="AB7529" s="310"/>
    </row>
    <row r="7530" spans="13:28" s="308" customFormat="1" x14ac:dyDescent="0.2">
      <c r="M7530" s="309"/>
      <c r="AB7530" s="310"/>
    </row>
    <row r="7531" spans="13:28" s="308" customFormat="1" x14ac:dyDescent="0.2">
      <c r="M7531" s="309"/>
      <c r="AB7531" s="310"/>
    </row>
    <row r="7532" spans="13:28" s="308" customFormat="1" x14ac:dyDescent="0.2">
      <c r="M7532" s="309"/>
      <c r="AB7532" s="310"/>
    </row>
    <row r="7533" spans="13:28" s="308" customFormat="1" x14ac:dyDescent="0.2">
      <c r="M7533" s="309"/>
      <c r="AB7533" s="310"/>
    </row>
    <row r="7534" spans="13:28" s="308" customFormat="1" x14ac:dyDescent="0.2">
      <c r="M7534" s="309"/>
      <c r="AB7534" s="310"/>
    </row>
    <row r="7535" spans="13:28" s="308" customFormat="1" x14ac:dyDescent="0.2">
      <c r="M7535" s="309"/>
      <c r="AB7535" s="310"/>
    </row>
    <row r="7536" spans="13:28" s="308" customFormat="1" x14ac:dyDescent="0.2">
      <c r="M7536" s="309"/>
      <c r="AB7536" s="310"/>
    </row>
    <row r="7537" spans="13:28" s="308" customFormat="1" x14ac:dyDescent="0.2">
      <c r="M7537" s="309"/>
      <c r="AB7537" s="310"/>
    </row>
    <row r="7538" spans="13:28" s="308" customFormat="1" x14ac:dyDescent="0.2">
      <c r="M7538" s="309"/>
      <c r="AB7538" s="310"/>
    </row>
    <row r="7539" spans="13:28" s="308" customFormat="1" x14ac:dyDescent="0.2">
      <c r="M7539" s="309"/>
      <c r="AB7539" s="310"/>
    </row>
    <row r="7540" spans="13:28" s="308" customFormat="1" x14ac:dyDescent="0.2">
      <c r="M7540" s="309"/>
      <c r="AB7540" s="310"/>
    </row>
    <row r="7541" spans="13:28" s="308" customFormat="1" x14ac:dyDescent="0.2">
      <c r="M7541" s="309"/>
      <c r="AB7541" s="310"/>
    </row>
    <row r="7542" spans="13:28" s="308" customFormat="1" x14ac:dyDescent="0.2">
      <c r="M7542" s="309"/>
      <c r="AB7542" s="310"/>
    </row>
    <row r="7543" spans="13:28" s="308" customFormat="1" x14ac:dyDescent="0.2">
      <c r="M7543" s="309"/>
      <c r="AB7543" s="310"/>
    </row>
    <row r="7544" spans="13:28" s="308" customFormat="1" x14ac:dyDescent="0.2">
      <c r="M7544" s="309"/>
      <c r="AB7544" s="310"/>
    </row>
    <row r="7545" spans="13:28" s="308" customFormat="1" x14ac:dyDescent="0.2">
      <c r="M7545" s="309"/>
      <c r="AB7545" s="310"/>
    </row>
    <row r="7546" spans="13:28" s="308" customFormat="1" x14ac:dyDescent="0.2">
      <c r="M7546" s="309"/>
      <c r="AB7546" s="310"/>
    </row>
    <row r="7547" spans="13:28" s="308" customFormat="1" x14ac:dyDescent="0.2">
      <c r="M7547" s="309"/>
      <c r="AB7547" s="310"/>
    </row>
    <row r="7548" spans="13:28" s="308" customFormat="1" x14ac:dyDescent="0.2">
      <c r="M7548" s="309"/>
      <c r="AB7548" s="310"/>
    </row>
    <row r="7549" spans="13:28" s="308" customFormat="1" x14ac:dyDescent="0.2">
      <c r="M7549" s="309"/>
      <c r="AB7549" s="310"/>
    </row>
    <row r="7550" spans="13:28" s="308" customFormat="1" x14ac:dyDescent="0.2">
      <c r="M7550" s="309"/>
      <c r="AB7550" s="310"/>
    </row>
    <row r="7551" spans="13:28" s="308" customFormat="1" x14ac:dyDescent="0.2">
      <c r="M7551" s="309"/>
      <c r="AB7551" s="310"/>
    </row>
    <row r="7552" spans="13:28" s="308" customFormat="1" x14ac:dyDescent="0.2">
      <c r="M7552" s="309"/>
      <c r="AB7552" s="310"/>
    </row>
    <row r="7553" spans="13:28" s="308" customFormat="1" x14ac:dyDescent="0.2">
      <c r="M7553" s="309"/>
      <c r="AB7553" s="310"/>
    </row>
    <row r="7554" spans="13:28" s="308" customFormat="1" x14ac:dyDescent="0.2">
      <c r="M7554" s="309"/>
      <c r="AB7554" s="310"/>
    </row>
    <row r="7555" spans="13:28" s="308" customFormat="1" x14ac:dyDescent="0.2">
      <c r="M7555" s="309"/>
      <c r="AB7555" s="310"/>
    </row>
    <row r="7556" spans="13:28" s="308" customFormat="1" x14ac:dyDescent="0.2">
      <c r="M7556" s="309"/>
      <c r="AB7556" s="310"/>
    </row>
    <row r="7557" spans="13:28" s="308" customFormat="1" x14ac:dyDescent="0.2">
      <c r="M7557" s="309"/>
      <c r="AB7557" s="310"/>
    </row>
    <row r="7558" spans="13:28" s="308" customFormat="1" x14ac:dyDescent="0.2">
      <c r="M7558" s="309"/>
      <c r="AB7558" s="310"/>
    </row>
    <row r="7559" spans="13:28" s="308" customFormat="1" x14ac:dyDescent="0.2">
      <c r="M7559" s="309"/>
      <c r="AB7559" s="310"/>
    </row>
    <row r="7560" spans="13:28" s="308" customFormat="1" x14ac:dyDescent="0.2">
      <c r="M7560" s="309"/>
      <c r="AB7560" s="310"/>
    </row>
    <row r="7561" spans="13:28" s="308" customFormat="1" x14ac:dyDescent="0.2">
      <c r="M7561" s="309"/>
      <c r="AB7561" s="310"/>
    </row>
    <row r="7562" spans="13:28" s="308" customFormat="1" x14ac:dyDescent="0.2">
      <c r="M7562" s="309"/>
      <c r="AB7562" s="310"/>
    </row>
    <row r="7563" spans="13:28" s="308" customFormat="1" x14ac:dyDescent="0.2">
      <c r="M7563" s="309"/>
      <c r="AB7563" s="310"/>
    </row>
    <row r="7564" spans="13:28" s="308" customFormat="1" x14ac:dyDescent="0.2">
      <c r="M7564" s="309"/>
      <c r="AB7564" s="310"/>
    </row>
    <row r="7565" spans="13:28" s="308" customFormat="1" x14ac:dyDescent="0.2">
      <c r="M7565" s="309"/>
      <c r="AB7565" s="310"/>
    </row>
    <row r="7566" spans="13:28" s="308" customFormat="1" x14ac:dyDescent="0.2">
      <c r="M7566" s="309"/>
      <c r="AB7566" s="310"/>
    </row>
    <row r="7567" spans="13:28" s="308" customFormat="1" x14ac:dyDescent="0.2">
      <c r="M7567" s="309"/>
      <c r="AB7567" s="310"/>
    </row>
    <row r="7568" spans="13:28" s="308" customFormat="1" x14ac:dyDescent="0.2">
      <c r="M7568" s="309"/>
      <c r="AB7568" s="310"/>
    </row>
    <row r="7569" spans="13:28" s="308" customFormat="1" x14ac:dyDescent="0.2">
      <c r="M7569" s="309"/>
      <c r="AB7569" s="310"/>
    </row>
    <row r="7570" spans="13:28" s="308" customFormat="1" x14ac:dyDescent="0.2">
      <c r="M7570" s="309"/>
      <c r="AB7570" s="310"/>
    </row>
    <row r="7571" spans="13:28" s="308" customFormat="1" x14ac:dyDescent="0.2">
      <c r="M7571" s="309"/>
      <c r="AB7571" s="310"/>
    </row>
    <row r="7572" spans="13:28" s="308" customFormat="1" x14ac:dyDescent="0.2">
      <c r="M7572" s="309"/>
      <c r="AB7572" s="310"/>
    </row>
    <row r="7573" spans="13:28" s="308" customFormat="1" x14ac:dyDescent="0.2">
      <c r="M7573" s="309"/>
      <c r="AB7573" s="310"/>
    </row>
    <row r="7574" spans="13:28" s="308" customFormat="1" x14ac:dyDescent="0.2">
      <c r="M7574" s="309"/>
      <c r="AB7574" s="310"/>
    </row>
    <row r="7575" spans="13:28" s="308" customFormat="1" x14ac:dyDescent="0.2">
      <c r="M7575" s="309"/>
      <c r="AB7575" s="310"/>
    </row>
    <row r="7576" spans="13:28" s="308" customFormat="1" x14ac:dyDescent="0.2">
      <c r="M7576" s="309"/>
      <c r="AB7576" s="310"/>
    </row>
    <row r="7577" spans="13:28" s="308" customFormat="1" x14ac:dyDescent="0.2">
      <c r="M7577" s="309"/>
      <c r="AB7577" s="310"/>
    </row>
    <row r="7578" spans="13:28" s="308" customFormat="1" x14ac:dyDescent="0.2">
      <c r="M7578" s="309"/>
      <c r="AB7578" s="310"/>
    </row>
    <row r="7579" spans="13:28" s="308" customFormat="1" x14ac:dyDescent="0.2">
      <c r="M7579" s="309"/>
      <c r="AB7579" s="310"/>
    </row>
    <row r="7580" spans="13:28" s="308" customFormat="1" x14ac:dyDescent="0.2">
      <c r="M7580" s="309"/>
      <c r="AB7580" s="310"/>
    </row>
    <row r="7581" spans="13:28" s="308" customFormat="1" x14ac:dyDescent="0.2">
      <c r="M7581" s="309"/>
      <c r="AB7581" s="310"/>
    </row>
    <row r="7582" spans="13:28" s="308" customFormat="1" x14ac:dyDescent="0.2">
      <c r="M7582" s="309"/>
      <c r="AB7582" s="310"/>
    </row>
    <row r="7583" spans="13:28" s="308" customFormat="1" x14ac:dyDescent="0.2">
      <c r="M7583" s="309"/>
      <c r="AB7583" s="310"/>
    </row>
    <row r="7584" spans="13:28" s="308" customFormat="1" x14ac:dyDescent="0.2">
      <c r="M7584" s="309"/>
      <c r="AB7584" s="310"/>
    </row>
    <row r="7585" spans="13:28" s="308" customFormat="1" x14ac:dyDescent="0.2">
      <c r="M7585" s="309"/>
      <c r="AB7585" s="310"/>
    </row>
    <row r="7586" spans="13:28" s="308" customFormat="1" x14ac:dyDescent="0.2">
      <c r="M7586" s="309"/>
      <c r="AB7586" s="310"/>
    </row>
    <row r="7587" spans="13:28" s="308" customFormat="1" x14ac:dyDescent="0.2">
      <c r="M7587" s="309"/>
      <c r="AB7587" s="310"/>
    </row>
    <row r="7588" spans="13:28" s="308" customFormat="1" x14ac:dyDescent="0.2">
      <c r="M7588" s="309"/>
      <c r="AB7588" s="310"/>
    </row>
    <row r="7589" spans="13:28" s="308" customFormat="1" x14ac:dyDescent="0.2">
      <c r="M7589" s="309"/>
      <c r="AB7589" s="310"/>
    </row>
    <row r="7590" spans="13:28" s="308" customFormat="1" x14ac:dyDescent="0.2">
      <c r="M7590" s="309"/>
      <c r="AB7590" s="310"/>
    </row>
    <row r="7591" spans="13:28" s="308" customFormat="1" x14ac:dyDescent="0.2">
      <c r="M7591" s="309"/>
      <c r="AB7591" s="310"/>
    </row>
    <row r="7592" spans="13:28" s="308" customFormat="1" x14ac:dyDescent="0.2">
      <c r="M7592" s="309"/>
      <c r="AB7592" s="310"/>
    </row>
    <row r="7593" spans="13:28" s="308" customFormat="1" x14ac:dyDescent="0.2">
      <c r="M7593" s="309"/>
      <c r="AB7593" s="310"/>
    </row>
    <row r="7594" spans="13:28" s="308" customFormat="1" x14ac:dyDescent="0.2">
      <c r="M7594" s="309"/>
      <c r="AB7594" s="310"/>
    </row>
    <row r="7595" spans="13:28" s="308" customFormat="1" x14ac:dyDescent="0.2">
      <c r="M7595" s="309"/>
      <c r="AB7595" s="310"/>
    </row>
    <row r="7596" spans="13:28" s="308" customFormat="1" x14ac:dyDescent="0.2">
      <c r="M7596" s="309"/>
      <c r="AB7596" s="310"/>
    </row>
    <row r="7597" spans="13:28" s="308" customFormat="1" x14ac:dyDescent="0.2">
      <c r="M7597" s="309"/>
      <c r="AB7597" s="310"/>
    </row>
    <row r="7598" spans="13:28" s="308" customFormat="1" x14ac:dyDescent="0.2">
      <c r="M7598" s="309"/>
      <c r="AB7598" s="310"/>
    </row>
    <row r="7599" spans="13:28" s="308" customFormat="1" x14ac:dyDescent="0.2">
      <c r="M7599" s="309"/>
      <c r="AB7599" s="310"/>
    </row>
    <row r="7600" spans="13:28" s="308" customFormat="1" x14ac:dyDescent="0.2">
      <c r="M7600" s="309"/>
      <c r="AB7600" s="310"/>
    </row>
    <row r="7601" spans="13:28" s="308" customFormat="1" x14ac:dyDescent="0.2">
      <c r="M7601" s="309"/>
      <c r="AB7601" s="310"/>
    </row>
    <row r="7602" spans="13:28" s="308" customFormat="1" x14ac:dyDescent="0.2">
      <c r="M7602" s="309"/>
      <c r="AB7602" s="310"/>
    </row>
    <row r="7603" spans="13:28" s="308" customFormat="1" x14ac:dyDescent="0.2">
      <c r="M7603" s="309"/>
      <c r="AB7603" s="310"/>
    </row>
    <row r="7604" spans="13:28" s="308" customFormat="1" x14ac:dyDescent="0.2">
      <c r="M7604" s="309"/>
      <c r="AB7604" s="310"/>
    </row>
    <row r="7605" spans="13:28" s="308" customFormat="1" x14ac:dyDescent="0.2">
      <c r="M7605" s="309"/>
      <c r="AB7605" s="310"/>
    </row>
    <row r="7606" spans="13:28" s="308" customFormat="1" x14ac:dyDescent="0.2">
      <c r="M7606" s="309"/>
      <c r="AB7606" s="310"/>
    </row>
    <row r="7607" spans="13:28" s="308" customFormat="1" x14ac:dyDescent="0.2">
      <c r="M7607" s="309"/>
      <c r="AB7607" s="310"/>
    </row>
    <row r="7608" spans="13:28" s="308" customFormat="1" x14ac:dyDescent="0.2">
      <c r="M7608" s="309"/>
      <c r="AB7608" s="310"/>
    </row>
    <row r="7609" spans="13:28" s="308" customFormat="1" x14ac:dyDescent="0.2">
      <c r="M7609" s="309"/>
      <c r="AB7609" s="310"/>
    </row>
    <row r="7610" spans="13:28" s="308" customFormat="1" x14ac:dyDescent="0.2">
      <c r="M7610" s="309"/>
      <c r="AB7610" s="310"/>
    </row>
    <row r="7611" spans="13:28" s="308" customFormat="1" x14ac:dyDescent="0.2">
      <c r="M7611" s="309"/>
      <c r="AB7611" s="310"/>
    </row>
    <row r="7612" spans="13:28" s="308" customFormat="1" x14ac:dyDescent="0.2">
      <c r="M7612" s="309"/>
      <c r="AB7612" s="310"/>
    </row>
    <row r="7613" spans="13:28" s="308" customFormat="1" x14ac:dyDescent="0.2">
      <c r="M7613" s="309"/>
      <c r="AB7613" s="310"/>
    </row>
    <row r="7614" spans="13:28" s="308" customFormat="1" x14ac:dyDescent="0.2">
      <c r="M7614" s="309"/>
      <c r="AB7614" s="310"/>
    </row>
    <row r="7615" spans="13:28" s="308" customFormat="1" x14ac:dyDescent="0.2">
      <c r="M7615" s="309"/>
      <c r="AB7615" s="310"/>
    </row>
    <row r="7616" spans="13:28" s="308" customFormat="1" x14ac:dyDescent="0.2">
      <c r="M7616" s="309"/>
      <c r="AB7616" s="310"/>
    </row>
    <row r="7617" spans="13:28" s="308" customFormat="1" x14ac:dyDescent="0.2">
      <c r="M7617" s="309"/>
      <c r="AB7617" s="310"/>
    </row>
    <row r="7618" spans="13:28" s="308" customFormat="1" x14ac:dyDescent="0.2">
      <c r="M7618" s="309"/>
      <c r="AB7618" s="310"/>
    </row>
    <row r="7619" spans="13:28" s="308" customFormat="1" x14ac:dyDescent="0.2">
      <c r="M7619" s="309"/>
      <c r="AB7619" s="310"/>
    </row>
    <row r="7620" spans="13:28" s="308" customFormat="1" x14ac:dyDescent="0.2">
      <c r="M7620" s="309"/>
      <c r="AB7620" s="310"/>
    </row>
    <row r="7621" spans="13:28" s="308" customFormat="1" x14ac:dyDescent="0.2">
      <c r="M7621" s="309"/>
      <c r="AB7621" s="310"/>
    </row>
    <row r="7622" spans="13:28" s="308" customFormat="1" x14ac:dyDescent="0.2">
      <c r="M7622" s="309"/>
      <c r="AB7622" s="310"/>
    </row>
    <row r="7623" spans="13:28" s="308" customFormat="1" x14ac:dyDescent="0.2">
      <c r="M7623" s="309"/>
      <c r="AB7623" s="310"/>
    </row>
    <row r="7624" spans="13:28" s="308" customFormat="1" x14ac:dyDescent="0.2">
      <c r="M7624" s="309"/>
      <c r="AB7624" s="310"/>
    </row>
    <row r="7625" spans="13:28" s="308" customFormat="1" x14ac:dyDescent="0.2">
      <c r="M7625" s="309"/>
      <c r="AB7625" s="310"/>
    </row>
    <row r="7626" spans="13:28" s="308" customFormat="1" x14ac:dyDescent="0.2">
      <c r="M7626" s="309"/>
      <c r="AB7626" s="310"/>
    </row>
    <row r="7627" spans="13:28" s="308" customFormat="1" x14ac:dyDescent="0.2">
      <c r="M7627" s="309"/>
      <c r="AB7627" s="310"/>
    </row>
    <row r="7628" spans="13:28" s="308" customFormat="1" x14ac:dyDescent="0.2">
      <c r="M7628" s="309"/>
      <c r="AB7628" s="310"/>
    </row>
    <row r="7629" spans="13:28" s="308" customFormat="1" x14ac:dyDescent="0.2">
      <c r="M7629" s="309"/>
      <c r="AB7629" s="310"/>
    </row>
    <row r="7630" spans="13:28" s="308" customFormat="1" x14ac:dyDescent="0.2">
      <c r="M7630" s="309"/>
      <c r="AB7630" s="310"/>
    </row>
    <row r="7631" spans="13:28" s="308" customFormat="1" x14ac:dyDescent="0.2">
      <c r="M7631" s="309"/>
      <c r="AB7631" s="310"/>
    </row>
    <row r="7632" spans="13:28" s="308" customFormat="1" x14ac:dyDescent="0.2">
      <c r="M7632" s="309"/>
      <c r="AB7632" s="310"/>
    </row>
    <row r="7633" spans="13:28" s="308" customFormat="1" x14ac:dyDescent="0.2">
      <c r="M7633" s="309"/>
      <c r="AB7633" s="310"/>
    </row>
    <row r="7634" spans="13:28" s="308" customFormat="1" x14ac:dyDescent="0.2">
      <c r="M7634" s="309"/>
      <c r="AB7634" s="310"/>
    </row>
    <row r="7635" spans="13:28" s="308" customFormat="1" x14ac:dyDescent="0.2">
      <c r="M7635" s="309"/>
      <c r="AB7635" s="310"/>
    </row>
    <row r="7636" spans="13:28" s="308" customFormat="1" x14ac:dyDescent="0.2">
      <c r="M7636" s="309"/>
      <c r="AB7636" s="310"/>
    </row>
    <row r="7637" spans="13:28" s="308" customFormat="1" x14ac:dyDescent="0.2">
      <c r="M7637" s="309"/>
      <c r="AB7637" s="310"/>
    </row>
    <row r="7638" spans="13:28" s="308" customFormat="1" x14ac:dyDescent="0.2">
      <c r="M7638" s="309"/>
      <c r="AB7638" s="310"/>
    </row>
    <row r="7639" spans="13:28" s="308" customFormat="1" x14ac:dyDescent="0.2">
      <c r="M7639" s="309"/>
      <c r="AB7639" s="310"/>
    </row>
    <row r="7640" spans="13:28" s="308" customFormat="1" x14ac:dyDescent="0.2">
      <c r="M7640" s="309"/>
      <c r="AB7640" s="310"/>
    </row>
    <row r="7641" spans="13:28" s="308" customFormat="1" x14ac:dyDescent="0.2">
      <c r="M7641" s="309"/>
      <c r="AB7641" s="310"/>
    </row>
    <row r="7642" spans="13:28" s="308" customFormat="1" x14ac:dyDescent="0.2">
      <c r="M7642" s="309"/>
      <c r="AB7642" s="310"/>
    </row>
    <row r="7643" spans="13:28" s="308" customFormat="1" x14ac:dyDescent="0.2">
      <c r="M7643" s="309"/>
      <c r="AB7643" s="310"/>
    </row>
    <row r="7644" spans="13:28" s="308" customFormat="1" x14ac:dyDescent="0.2">
      <c r="M7644" s="309"/>
      <c r="AB7644" s="310"/>
    </row>
    <row r="7645" spans="13:28" s="308" customFormat="1" x14ac:dyDescent="0.2">
      <c r="M7645" s="309"/>
      <c r="AB7645" s="310"/>
    </row>
    <row r="7646" spans="13:28" s="308" customFormat="1" x14ac:dyDescent="0.2">
      <c r="M7646" s="309"/>
      <c r="AB7646" s="310"/>
    </row>
    <row r="7647" spans="13:28" s="308" customFormat="1" x14ac:dyDescent="0.2">
      <c r="M7647" s="309"/>
      <c r="AB7647" s="310"/>
    </row>
    <row r="7648" spans="13:28" s="308" customFormat="1" x14ac:dyDescent="0.2">
      <c r="M7648" s="309"/>
      <c r="AB7648" s="310"/>
    </row>
    <row r="7649" spans="13:28" s="308" customFormat="1" x14ac:dyDescent="0.2">
      <c r="M7649" s="309"/>
      <c r="AB7649" s="310"/>
    </row>
    <row r="7650" spans="13:28" s="308" customFormat="1" x14ac:dyDescent="0.2">
      <c r="M7650" s="309"/>
      <c r="AB7650" s="310"/>
    </row>
    <row r="7651" spans="13:28" s="308" customFormat="1" x14ac:dyDescent="0.2">
      <c r="M7651" s="309"/>
      <c r="AB7651" s="310"/>
    </row>
    <row r="7652" spans="13:28" s="308" customFormat="1" x14ac:dyDescent="0.2">
      <c r="M7652" s="309"/>
      <c r="AB7652" s="310"/>
    </row>
    <row r="7653" spans="13:28" s="308" customFormat="1" x14ac:dyDescent="0.2">
      <c r="M7653" s="309"/>
      <c r="AB7653" s="310"/>
    </row>
    <row r="7654" spans="13:28" s="308" customFormat="1" x14ac:dyDescent="0.2">
      <c r="M7654" s="309"/>
      <c r="AB7654" s="310"/>
    </row>
    <row r="7655" spans="13:28" s="308" customFormat="1" x14ac:dyDescent="0.2">
      <c r="M7655" s="309"/>
      <c r="AB7655" s="310"/>
    </row>
    <row r="7656" spans="13:28" s="308" customFormat="1" x14ac:dyDescent="0.2">
      <c r="M7656" s="309"/>
      <c r="AB7656" s="310"/>
    </row>
    <row r="7657" spans="13:28" s="308" customFormat="1" x14ac:dyDescent="0.2">
      <c r="M7657" s="309"/>
      <c r="AB7657" s="310"/>
    </row>
    <row r="7658" spans="13:28" s="308" customFormat="1" x14ac:dyDescent="0.2">
      <c r="M7658" s="309"/>
      <c r="AB7658" s="310"/>
    </row>
    <row r="7659" spans="13:28" s="308" customFormat="1" x14ac:dyDescent="0.2">
      <c r="M7659" s="309"/>
      <c r="AB7659" s="310"/>
    </row>
    <row r="7660" spans="13:28" s="308" customFormat="1" x14ac:dyDescent="0.2">
      <c r="M7660" s="309"/>
      <c r="AB7660" s="310"/>
    </row>
    <row r="7661" spans="13:28" s="308" customFormat="1" x14ac:dyDescent="0.2">
      <c r="M7661" s="309"/>
      <c r="AB7661" s="310"/>
    </row>
    <row r="7662" spans="13:28" s="308" customFormat="1" x14ac:dyDescent="0.2">
      <c r="M7662" s="309"/>
      <c r="AB7662" s="310"/>
    </row>
    <row r="7663" spans="13:28" s="308" customFormat="1" x14ac:dyDescent="0.2">
      <c r="M7663" s="309"/>
      <c r="AB7663" s="310"/>
    </row>
    <row r="7664" spans="13:28" s="308" customFormat="1" x14ac:dyDescent="0.2">
      <c r="M7664" s="309"/>
      <c r="AB7664" s="310"/>
    </row>
    <row r="7665" spans="13:28" s="308" customFormat="1" x14ac:dyDescent="0.2">
      <c r="M7665" s="309"/>
      <c r="AB7665" s="310"/>
    </row>
    <row r="7666" spans="13:28" s="308" customFormat="1" x14ac:dyDescent="0.2">
      <c r="M7666" s="309"/>
      <c r="AB7666" s="310"/>
    </row>
    <row r="7667" spans="13:28" s="308" customFormat="1" x14ac:dyDescent="0.2">
      <c r="M7667" s="309"/>
      <c r="AB7667" s="310"/>
    </row>
    <row r="7668" spans="13:28" s="308" customFormat="1" x14ac:dyDescent="0.2">
      <c r="M7668" s="309"/>
      <c r="AB7668" s="310"/>
    </row>
    <row r="7669" spans="13:28" s="308" customFormat="1" x14ac:dyDescent="0.2">
      <c r="M7669" s="309"/>
      <c r="AB7669" s="310"/>
    </row>
    <row r="7670" spans="13:28" s="308" customFormat="1" x14ac:dyDescent="0.2">
      <c r="M7670" s="309"/>
      <c r="AB7670" s="310"/>
    </row>
    <row r="7671" spans="13:28" s="308" customFormat="1" x14ac:dyDescent="0.2">
      <c r="M7671" s="309"/>
      <c r="AB7671" s="310"/>
    </row>
    <row r="7672" spans="13:28" s="308" customFormat="1" x14ac:dyDescent="0.2">
      <c r="M7672" s="309"/>
      <c r="AB7672" s="310"/>
    </row>
    <row r="7673" spans="13:28" s="308" customFormat="1" x14ac:dyDescent="0.2">
      <c r="M7673" s="309"/>
      <c r="AB7673" s="310"/>
    </row>
    <row r="7674" spans="13:28" s="308" customFormat="1" x14ac:dyDescent="0.2">
      <c r="M7674" s="309"/>
      <c r="AB7674" s="310"/>
    </row>
    <row r="7675" spans="13:28" s="308" customFormat="1" x14ac:dyDescent="0.2">
      <c r="M7675" s="309"/>
      <c r="AB7675" s="310"/>
    </row>
    <row r="7676" spans="13:28" s="308" customFormat="1" x14ac:dyDescent="0.2">
      <c r="M7676" s="309"/>
      <c r="AB7676" s="310"/>
    </row>
    <row r="7677" spans="13:28" s="308" customFormat="1" x14ac:dyDescent="0.2">
      <c r="M7677" s="309"/>
      <c r="AB7677" s="310"/>
    </row>
    <row r="7678" spans="13:28" s="308" customFormat="1" x14ac:dyDescent="0.2">
      <c r="M7678" s="309"/>
      <c r="AB7678" s="310"/>
    </row>
    <row r="7679" spans="13:28" s="308" customFormat="1" x14ac:dyDescent="0.2">
      <c r="M7679" s="309"/>
      <c r="AB7679" s="310"/>
    </row>
    <row r="7680" spans="13:28" s="308" customFormat="1" x14ac:dyDescent="0.2">
      <c r="M7680" s="309"/>
      <c r="AB7680" s="310"/>
    </row>
    <row r="7681" spans="13:28" s="308" customFormat="1" x14ac:dyDescent="0.2">
      <c r="M7681" s="309"/>
      <c r="AB7681" s="310"/>
    </row>
    <row r="7682" spans="13:28" s="308" customFormat="1" x14ac:dyDescent="0.2">
      <c r="M7682" s="309"/>
      <c r="AB7682" s="310"/>
    </row>
    <row r="7683" spans="13:28" s="308" customFormat="1" x14ac:dyDescent="0.2">
      <c r="M7683" s="309"/>
      <c r="AB7683" s="310"/>
    </row>
    <row r="7684" spans="13:28" s="308" customFormat="1" x14ac:dyDescent="0.2">
      <c r="M7684" s="309"/>
      <c r="AB7684" s="310"/>
    </row>
    <row r="7685" spans="13:28" s="308" customFormat="1" x14ac:dyDescent="0.2">
      <c r="M7685" s="309"/>
      <c r="AB7685" s="310"/>
    </row>
    <row r="7686" spans="13:28" s="308" customFormat="1" x14ac:dyDescent="0.2">
      <c r="M7686" s="309"/>
      <c r="AB7686" s="310"/>
    </row>
    <row r="7687" spans="13:28" s="308" customFormat="1" x14ac:dyDescent="0.2">
      <c r="M7687" s="309"/>
      <c r="AB7687" s="310"/>
    </row>
    <row r="7688" spans="13:28" s="308" customFormat="1" x14ac:dyDescent="0.2">
      <c r="M7688" s="309"/>
      <c r="AB7688" s="310"/>
    </row>
    <row r="7689" spans="13:28" s="308" customFormat="1" x14ac:dyDescent="0.2">
      <c r="M7689" s="309"/>
      <c r="AB7689" s="310"/>
    </row>
    <row r="7690" spans="13:28" s="308" customFormat="1" x14ac:dyDescent="0.2">
      <c r="M7690" s="309"/>
      <c r="AB7690" s="310"/>
    </row>
    <row r="7691" spans="13:28" s="308" customFormat="1" x14ac:dyDescent="0.2">
      <c r="M7691" s="309"/>
      <c r="AB7691" s="310"/>
    </row>
    <row r="7692" spans="13:28" s="308" customFormat="1" x14ac:dyDescent="0.2">
      <c r="M7692" s="309"/>
      <c r="AB7692" s="310"/>
    </row>
    <row r="7693" spans="13:28" s="308" customFormat="1" x14ac:dyDescent="0.2">
      <c r="M7693" s="309"/>
      <c r="AB7693" s="310"/>
    </row>
    <row r="7694" spans="13:28" s="308" customFormat="1" x14ac:dyDescent="0.2">
      <c r="M7694" s="309"/>
      <c r="AB7694" s="310"/>
    </row>
    <row r="7695" spans="13:28" s="308" customFormat="1" x14ac:dyDescent="0.2">
      <c r="M7695" s="309"/>
      <c r="AB7695" s="310"/>
    </row>
    <row r="7696" spans="13:28" s="308" customFormat="1" x14ac:dyDescent="0.2">
      <c r="M7696" s="309"/>
      <c r="AB7696" s="310"/>
    </row>
    <row r="7697" spans="13:28" s="308" customFormat="1" x14ac:dyDescent="0.2">
      <c r="M7697" s="309"/>
      <c r="AB7697" s="310"/>
    </row>
    <row r="7698" spans="13:28" s="308" customFormat="1" x14ac:dyDescent="0.2">
      <c r="M7698" s="309"/>
      <c r="AB7698" s="310"/>
    </row>
    <row r="7699" spans="13:28" s="308" customFormat="1" x14ac:dyDescent="0.2">
      <c r="M7699" s="309"/>
      <c r="AB7699" s="310"/>
    </row>
    <row r="7700" spans="13:28" s="308" customFormat="1" x14ac:dyDescent="0.2">
      <c r="M7700" s="309"/>
      <c r="AB7700" s="310"/>
    </row>
    <row r="7701" spans="13:28" s="308" customFormat="1" x14ac:dyDescent="0.2">
      <c r="M7701" s="309"/>
      <c r="AB7701" s="310"/>
    </row>
    <row r="7702" spans="13:28" s="308" customFormat="1" x14ac:dyDescent="0.2">
      <c r="M7702" s="309"/>
      <c r="AB7702" s="310"/>
    </row>
    <row r="7703" spans="13:28" s="308" customFormat="1" x14ac:dyDescent="0.2">
      <c r="M7703" s="309"/>
      <c r="AB7703" s="310"/>
    </row>
    <row r="7704" spans="13:28" s="308" customFormat="1" x14ac:dyDescent="0.2">
      <c r="M7704" s="309"/>
      <c r="AB7704" s="310"/>
    </row>
    <row r="7705" spans="13:28" s="308" customFormat="1" x14ac:dyDescent="0.2">
      <c r="M7705" s="309"/>
      <c r="AB7705" s="310"/>
    </row>
    <row r="7706" spans="13:28" s="308" customFormat="1" x14ac:dyDescent="0.2">
      <c r="M7706" s="309"/>
      <c r="AB7706" s="310"/>
    </row>
    <row r="7707" spans="13:28" s="308" customFormat="1" x14ac:dyDescent="0.2">
      <c r="M7707" s="309"/>
      <c r="AB7707" s="310"/>
    </row>
    <row r="7708" spans="13:28" s="308" customFormat="1" x14ac:dyDescent="0.2">
      <c r="M7708" s="309"/>
      <c r="AB7708" s="310"/>
    </row>
    <row r="7709" spans="13:28" s="308" customFormat="1" x14ac:dyDescent="0.2">
      <c r="M7709" s="309"/>
      <c r="AB7709" s="310"/>
    </row>
    <row r="7710" spans="13:28" s="308" customFormat="1" x14ac:dyDescent="0.2">
      <c r="M7710" s="309"/>
      <c r="AB7710" s="310"/>
    </row>
    <row r="7711" spans="13:28" s="308" customFormat="1" x14ac:dyDescent="0.2">
      <c r="M7711" s="309"/>
      <c r="AB7711" s="310"/>
    </row>
    <row r="7712" spans="13:28" s="308" customFormat="1" x14ac:dyDescent="0.2">
      <c r="M7712" s="309"/>
      <c r="AB7712" s="310"/>
    </row>
    <row r="7713" spans="13:28" s="308" customFormat="1" x14ac:dyDescent="0.2">
      <c r="M7713" s="309"/>
      <c r="AB7713" s="310"/>
    </row>
    <row r="7714" spans="13:28" s="308" customFormat="1" x14ac:dyDescent="0.2">
      <c r="M7714" s="309"/>
      <c r="AB7714" s="310"/>
    </row>
    <row r="7715" spans="13:28" s="308" customFormat="1" x14ac:dyDescent="0.2">
      <c r="M7715" s="309"/>
      <c r="AB7715" s="310"/>
    </row>
    <row r="7716" spans="13:28" s="308" customFormat="1" x14ac:dyDescent="0.2">
      <c r="M7716" s="309"/>
      <c r="AB7716" s="310"/>
    </row>
    <row r="7717" spans="13:28" s="308" customFormat="1" x14ac:dyDescent="0.2">
      <c r="M7717" s="309"/>
      <c r="AB7717" s="310"/>
    </row>
    <row r="7718" spans="13:28" s="308" customFormat="1" x14ac:dyDescent="0.2">
      <c r="M7718" s="309"/>
      <c r="AB7718" s="310"/>
    </row>
    <row r="7719" spans="13:28" s="308" customFormat="1" x14ac:dyDescent="0.2">
      <c r="M7719" s="309"/>
      <c r="AB7719" s="310"/>
    </row>
    <row r="7720" spans="13:28" s="308" customFormat="1" x14ac:dyDescent="0.2">
      <c r="M7720" s="309"/>
      <c r="AB7720" s="310"/>
    </row>
    <row r="7721" spans="13:28" s="308" customFormat="1" x14ac:dyDescent="0.2">
      <c r="M7721" s="309"/>
      <c r="AB7721" s="310"/>
    </row>
    <row r="7722" spans="13:28" s="308" customFormat="1" x14ac:dyDescent="0.2">
      <c r="M7722" s="309"/>
      <c r="AB7722" s="310"/>
    </row>
    <row r="7723" spans="13:28" s="308" customFormat="1" x14ac:dyDescent="0.2">
      <c r="M7723" s="309"/>
      <c r="AB7723" s="310"/>
    </row>
    <row r="7724" spans="13:28" s="308" customFormat="1" x14ac:dyDescent="0.2">
      <c r="M7724" s="309"/>
      <c r="AB7724" s="310"/>
    </row>
    <row r="7725" spans="13:28" s="308" customFormat="1" x14ac:dyDescent="0.2">
      <c r="M7725" s="309"/>
      <c r="AB7725" s="310"/>
    </row>
    <row r="7726" spans="13:28" s="308" customFormat="1" x14ac:dyDescent="0.2">
      <c r="M7726" s="309"/>
      <c r="AB7726" s="310"/>
    </row>
    <row r="7727" spans="13:28" s="308" customFormat="1" x14ac:dyDescent="0.2">
      <c r="M7727" s="309"/>
      <c r="AB7727" s="310"/>
    </row>
    <row r="7728" spans="13:28" s="308" customFormat="1" x14ac:dyDescent="0.2">
      <c r="M7728" s="309"/>
      <c r="AB7728" s="310"/>
    </row>
    <row r="7729" spans="13:28" s="308" customFormat="1" x14ac:dyDescent="0.2">
      <c r="M7729" s="309"/>
      <c r="AB7729" s="310"/>
    </row>
    <row r="7730" spans="13:28" s="308" customFormat="1" x14ac:dyDescent="0.2">
      <c r="M7730" s="309"/>
      <c r="AB7730" s="310"/>
    </row>
    <row r="7731" spans="13:28" s="308" customFormat="1" x14ac:dyDescent="0.2">
      <c r="M7731" s="309"/>
      <c r="AB7731" s="310"/>
    </row>
    <row r="7732" spans="13:28" s="308" customFormat="1" x14ac:dyDescent="0.2">
      <c r="M7732" s="309"/>
      <c r="AB7732" s="310"/>
    </row>
    <row r="7733" spans="13:28" s="308" customFormat="1" x14ac:dyDescent="0.2">
      <c r="M7733" s="309"/>
      <c r="AB7733" s="310"/>
    </row>
    <row r="7734" spans="13:28" s="308" customFormat="1" x14ac:dyDescent="0.2">
      <c r="M7734" s="309"/>
      <c r="AB7734" s="310"/>
    </row>
    <row r="7735" spans="13:28" s="308" customFormat="1" x14ac:dyDescent="0.2">
      <c r="M7735" s="309"/>
      <c r="AB7735" s="310"/>
    </row>
    <row r="7736" spans="13:28" s="308" customFormat="1" x14ac:dyDescent="0.2">
      <c r="M7736" s="309"/>
      <c r="AB7736" s="310"/>
    </row>
    <row r="7737" spans="13:28" s="308" customFormat="1" x14ac:dyDescent="0.2">
      <c r="M7737" s="309"/>
      <c r="AB7737" s="310"/>
    </row>
    <row r="7738" spans="13:28" s="308" customFormat="1" x14ac:dyDescent="0.2">
      <c r="M7738" s="309"/>
      <c r="AB7738" s="310"/>
    </row>
    <row r="7739" spans="13:28" s="308" customFormat="1" x14ac:dyDescent="0.2">
      <c r="M7739" s="309"/>
      <c r="AB7739" s="310"/>
    </row>
    <row r="7740" spans="13:28" s="308" customFormat="1" x14ac:dyDescent="0.2">
      <c r="M7740" s="309"/>
      <c r="AB7740" s="310"/>
    </row>
    <row r="7741" spans="13:28" s="308" customFormat="1" x14ac:dyDescent="0.2">
      <c r="M7741" s="309"/>
      <c r="AB7741" s="310"/>
    </row>
    <row r="7742" spans="13:28" s="308" customFormat="1" x14ac:dyDescent="0.2">
      <c r="M7742" s="309"/>
      <c r="AB7742" s="310"/>
    </row>
    <row r="7743" spans="13:28" s="308" customFormat="1" x14ac:dyDescent="0.2">
      <c r="M7743" s="309"/>
      <c r="AB7743" s="310"/>
    </row>
    <row r="7744" spans="13:28" s="308" customFormat="1" x14ac:dyDescent="0.2">
      <c r="M7744" s="309"/>
      <c r="AB7744" s="310"/>
    </row>
    <row r="7745" spans="13:28" s="308" customFormat="1" x14ac:dyDescent="0.2">
      <c r="M7745" s="309"/>
      <c r="AB7745" s="310"/>
    </row>
    <row r="7746" spans="13:28" s="308" customFormat="1" x14ac:dyDescent="0.2">
      <c r="M7746" s="309"/>
      <c r="AB7746" s="310"/>
    </row>
    <row r="7747" spans="13:28" s="308" customFormat="1" x14ac:dyDescent="0.2">
      <c r="M7747" s="309"/>
      <c r="AB7747" s="310"/>
    </row>
    <row r="7748" spans="13:28" s="308" customFormat="1" x14ac:dyDescent="0.2">
      <c r="M7748" s="309"/>
      <c r="AB7748" s="310"/>
    </row>
    <row r="7749" spans="13:28" s="308" customFormat="1" x14ac:dyDescent="0.2">
      <c r="M7749" s="309"/>
      <c r="AB7749" s="310"/>
    </row>
    <row r="7750" spans="13:28" s="308" customFormat="1" x14ac:dyDescent="0.2">
      <c r="M7750" s="309"/>
      <c r="AB7750" s="310"/>
    </row>
    <row r="7751" spans="13:28" s="308" customFormat="1" x14ac:dyDescent="0.2">
      <c r="M7751" s="309"/>
      <c r="AB7751" s="310"/>
    </row>
    <row r="7752" spans="13:28" s="308" customFormat="1" x14ac:dyDescent="0.2">
      <c r="M7752" s="309"/>
      <c r="AB7752" s="310"/>
    </row>
    <row r="7753" spans="13:28" s="308" customFormat="1" x14ac:dyDescent="0.2">
      <c r="M7753" s="309"/>
      <c r="AB7753" s="310"/>
    </row>
    <row r="7754" spans="13:28" s="308" customFormat="1" x14ac:dyDescent="0.2">
      <c r="M7754" s="309"/>
      <c r="AB7754" s="310"/>
    </row>
    <row r="7755" spans="13:28" s="308" customFormat="1" x14ac:dyDescent="0.2">
      <c r="M7755" s="309"/>
      <c r="AB7755" s="310"/>
    </row>
    <row r="7756" spans="13:28" s="308" customFormat="1" x14ac:dyDescent="0.2">
      <c r="M7756" s="309"/>
      <c r="AB7756" s="310"/>
    </row>
    <row r="7757" spans="13:28" s="308" customFormat="1" x14ac:dyDescent="0.2">
      <c r="M7757" s="309"/>
      <c r="AB7757" s="310"/>
    </row>
    <row r="7758" spans="13:28" s="308" customFormat="1" x14ac:dyDescent="0.2">
      <c r="M7758" s="309"/>
      <c r="AB7758" s="310"/>
    </row>
    <row r="7759" spans="13:28" s="308" customFormat="1" x14ac:dyDescent="0.2">
      <c r="M7759" s="309"/>
      <c r="AB7759" s="310"/>
    </row>
    <row r="7760" spans="13:28" s="308" customFormat="1" x14ac:dyDescent="0.2">
      <c r="M7760" s="309"/>
      <c r="AB7760" s="310"/>
    </row>
    <row r="7761" spans="13:28" s="308" customFormat="1" x14ac:dyDescent="0.2">
      <c r="M7761" s="309"/>
      <c r="AB7761" s="310"/>
    </row>
    <row r="7762" spans="13:28" s="308" customFormat="1" x14ac:dyDescent="0.2">
      <c r="M7762" s="309"/>
      <c r="AB7762" s="310"/>
    </row>
    <row r="7763" spans="13:28" s="308" customFormat="1" x14ac:dyDescent="0.2">
      <c r="M7763" s="309"/>
      <c r="AB7763" s="310"/>
    </row>
    <row r="7764" spans="13:28" s="308" customFormat="1" x14ac:dyDescent="0.2">
      <c r="M7764" s="309"/>
      <c r="AB7764" s="310"/>
    </row>
    <row r="7765" spans="13:28" s="308" customFormat="1" x14ac:dyDescent="0.2">
      <c r="M7765" s="309"/>
      <c r="AB7765" s="310"/>
    </row>
    <row r="7766" spans="13:28" s="308" customFormat="1" x14ac:dyDescent="0.2">
      <c r="M7766" s="309"/>
      <c r="AB7766" s="310"/>
    </row>
    <row r="7767" spans="13:28" s="308" customFormat="1" x14ac:dyDescent="0.2">
      <c r="M7767" s="309"/>
      <c r="AB7767" s="310"/>
    </row>
    <row r="7768" spans="13:28" s="308" customFormat="1" x14ac:dyDescent="0.2">
      <c r="M7768" s="309"/>
      <c r="AB7768" s="310"/>
    </row>
    <row r="7769" spans="13:28" s="308" customFormat="1" x14ac:dyDescent="0.2">
      <c r="M7769" s="309"/>
      <c r="AB7769" s="310"/>
    </row>
    <row r="7770" spans="13:28" s="308" customFormat="1" x14ac:dyDescent="0.2">
      <c r="M7770" s="309"/>
      <c r="AB7770" s="310"/>
    </row>
    <row r="7771" spans="13:28" s="308" customFormat="1" x14ac:dyDescent="0.2">
      <c r="M7771" s="309"/>
      <c r="AB7771" s="310"/>
    </row>
    <row r="7772" spans="13:28" s="308" customFormat="1" x14ac:dyDescent="0.2">
      <c r="M7772" s="309"/>
      <c r="AB7772" s="310"/>
    </row>
    <row r="7773" spans="13:28" s="308" customFormat="1" x14ac:dyDescent="0.2">
      <c r="M7773" s="309"/>
      <c r="AB7773" s="310"/>
    </row>
    <row r="7774" spans="13:28" s="308" customFormat="1" x14ac:dyDescent="0.2">
      <c r="M7774" s="309"/>
      <c r="AB7774" s="310"/>
    </row>
    <row r="7775" spans="13:28" s="308" customFormat="1" x14ac:dyDescent="0.2">
      <c r="M7775" s="309"/>
      <c r="AB7775" s="310"/>
    </row>
    <row r="7776" spans="13:28" s="308" customFormat="1" x14ac:dyDescent="0.2">
      <c r="M7776" s="309"/>
      <c r="AB7776" s="310"/>
    </row>
    <row r="7777" spans="13:28" s="308" customFormat="1" x14ac:dyDescent="0.2">
      <c r="M7777" s="309"/>
      <c r="AB7777" s="310"/>
    </row>
    <row r="7778" spans="13:28" s="308" customFormat="1" x14ac:dyDescent="0.2">
      <c r="M7778" s="309"/>
      <c r="AB7778" s="310"/>
    </row>
    <row r="7779" spans="13:28" s="308" customFormat="1" x14ac:dyDescent="0.2">
      <c r="M7779" s="309"/>
      <c r="AB7779" s="310"/>
    </row>
    <row r="7780" spans="13:28" s="308" customFormat="1" x14ac:dyDescent="0.2">
      <c r="M7780" s="309"/>
      <c r="AB7780" s="310"/>
    </row>
    <row r="7781" spans="13:28" s="308" customFormat="1" x14ac:dyDescent="0.2">
      <c r="M7781" s="309"/>
      <c r="AB7781" s="310"/>
    </row>
    <row r="7782" spans="13:28" s="308" customFormat="1" x14ac:dyDescent="0.2">
      <c r="M7782" s="309"/>
      <c r="AB7782" s="310"/>
    </row>
    <row r="7783" spans="13:28" s="308" customFormat="1" x14ac:dyDescent="0.2">
      <c r="M7783" s="309"/>
      <c r="AB7783" s="310"/>
    </row>
    <row r="7784" spans="13:28" s="308" customFormat="1" x14ac:dyDescent="0.2">
      <c r="M7784" s="309"/>
      <c r="AB7784" s="310"/>
    </row>
    <row r="7785" spans="13:28" s="308" customFormat="1" x14ac:dyDescent="0.2">
      <c r="M7785" s="309"/>
      <c r="AB7785" s="310"/>
    </row>
    <row r="7786" spans="13:28" s="308" customFormat="1" x14ac:dyDescent="0.2">
      <c r="M7786" s="309"/>
      <c r="AB7786" s="310"/>
    </row>
    <row r="7787" spans="13:28" s="308" customFormat="1" x14ac:dyDescent="0.2">
      <c r="M7787" s="309"/>
      <c r="AB7787" s="310"/>
    </row>
    <row r="7788" spans="13:28" s="308" customFormat="1" x14ac:dyDescent="0.2">
      <c r="M7788" s="309"/>
      <c r="AB7788" s="310"/>
    </row>
    <row r="7789" spans="13:28" s="308" customFormat="1" x14ac:dyDescent="0.2">
      <c r="M7789" s="309"/>
      <c r="AB7789" s="310"/>
    </row>
    <row r="7790" spans="13:28" s="308" customFormat="1" x14ac:dyDescent="0.2">
      <c r="M7790" s="309"/>
      <c r="AB7790" s="310"/>
    </row>
    <row r="7791" spans="13:28" s="308" customFormat="1" x14ac:dyDescent="0.2">
      <c r="M7791" s="309"/>
      <c r="AB7791" s="310"/>
    </row>
    <row r="7792" spans="13:28" s="308" customFormat="1" x14ac:dyDescent="0.2">
      <c r="M7792" s="309"/>
      <c r="AB7792" s="310"/>
    </row>
    <row r="7793" spans="13:28" s="308" customFormat="1" x14ac:dyDescent="0.2">
      <c r="M7793" s="309"/>
      <c r="AB7793" s="310"/>
    </row>
    <row r="7794" spans="13:28" s="308" customFormat="1" x14ac:dyDescent="0.2">
      <c r="M7794" s="309"/>
      <c r="AB7794" s="310"/>
    </row>
    <row r="7795" spans="13:28" s="308" customFormat="1" x14ac:dyDescent="0.2">
      <c r="M7795" s="309"/>
      <c r="AB7795" s="310"/>
    </row>
    <row r="7796" spans="13:28" s="308" customFormat="1" x14ac:dyDescent="0.2">
      <c r="M7796" s="309"/>
      <c r="AB7796" s="310"/>
    </row>
    <row r="7797" spans="13:28" s="308" customFormat="1" x14ac:dyDescent="0.2">
      <c r="M7797" s="309"/>
      <c r="AB7797" s="310"/>
    </row>
    <row r="7798" spans="13:28" s="308" customFormat="1" x14ac:dyDescent="0.2">
      <c r="M7798" s="309"/>
      <c r="AB7798" s="310"/>
    </row>
    <row r="7799" spans="13:28" s="308" customFormat="1" x14ac:dyDescent="0.2">
      <c r="M7799" s="309"/>
      <c r="AB7799" s="310"/>
    </row>
    <row r="7800" spans="13:28" s="308" customFormat="1" x14ac:dyDescent="0.2">
      <c r="M7800" s="309"/>
      <c r="AB7800" s="310"/>
    </row>
    <row r="7801" spans="13:28" s="308" customFormat="1" x14ac:dyDescent="0.2">
      <c r="M7801" s="309"/>
      <c r="AB7801" s="310"/>
    </row>
    <row r="7802" spans="13:28" s="308" customFormat="1" x14ac:dyDescent="0.2">
      <c r="M7802" s="309"/>
      <c r="AB7802" s="310"/>
    </row>
    <row r="7803" spans="13:28" s="308" customFormat="1" x14ac:dyDescent="0.2">
      <c r="M7803" s="309"/>
      <c r="AB7803" s="310"/>
    </row>
    <row r="7804" spans="13:28" s="308" customFormat="1" x14ac:dyDescent="0.2">
      <c r="M7804" s="309"/>
      <c r="AB7804" s="310"/>
    </row>
    <row r="7805" spans="13:28" s="308" customFormat="1" x14ac:dyDescent="0.2">
      <c r="M7805" s="309"/>
      <c r="AB7805" s="310"/>
    </row>
    <row r="7806" spans="13:28" s="308" customFormat="1" x14ac:dyDescent="0.2">
      <c r="M7806" s="309"/>
      <c r="AB7806" s="310"/>
    </row>
    <row r="7807" spans="13:28" s="308" customFormat="1" x14ac:dyDescent="0.2">
      <c r="M7807" s="309"/>
      <c r="AB7807" s="310"/>
    </row>
    <row r="7808" spans="13:28" s="308" customFormat="1" x14ac:dyDescent="0.2">
      <c r="M7808" s="309"/>
      <c r="AB7808" s="310"/>
    </row>
    <row r="7809" spans="13:28" s="308" customFormat="1" x14ac:dyDescent="0.2">
      <c r="M7809" s="309"/>
      <c r="AB7809" s="310"/>
    </row>
    <row r="7810" spans="13:28" s="308" customFormat="1" x14ac:dyDescent="0.2">
      <c r="M7810" s="309"/>
      <c r="AB7810" s="310"/>
    </row>
    <row r="7811" spans="13:28" s="308" customFormat="1" x14ac:dyDescent="0.2">
      <c r="M7811" s="309"/>
      <c r="AB7811" s="310"/>
    </row>
    <row r="7812" spans="13:28" s="308" customFormat="1" x14ac:dyDescent="0.2">
      <c r="M7812" s="309"/>
      <c r="AB7812" s="310"/>
    </row>
    <row r="7813" spans="13:28" s="308" customFormat="1" x14ac:dyDescent="0.2">
      <c r="M7813" s="309"/>
      <c r="AB7813" s="310"/>
    </row>
    <row r="7814" spans="13:28" s="308" customFormat="1" x14ac:dyDescent="0.2">
      <c r="M7814" s="309"/>
      <c r="AB7814" s="310"/>
    </row>
    <row r="7815" spans="13:28" s="308" customFormat="1" x14ac:dyDescent="0.2">
      <c r="M7815" s="309"/>
      <c r="AB7815" s="310"/>
    </row>
    <row r="7816" spans="13:28" s="308" customFormat="1" x14ac:dyDescent="0.2">
      <c r="M7816" s="309"/>
      <c r="AB7816" s="310"/>
    </row>
    <row r="7817" spans="13:28" s="308" customFormat="1" x14ac:dyDescent="0.2">
      <c r="M7817" s="309"/>
      <c r="AB7817" s="310"/>
    </row>
    <row r="7818" spans="13:28" s="308" customFormat="1" x14ac:dyDescent="0.2">
      <c r="M7818" s="309"/>
      <c r="AB7818" s="310"/>
    </row>
    <row r="7819" spans="13:28" s="308" customFormat="1" x14ac:dyDescent="0.2">
      <c r="M7819" s="309"/>
      <c r="AB7819" s="310"/>
    </row>
    <row r="7820" spans="13:28" s="308" customFormat="1" x14ac:dyDescent="0.2">
      <c r="M7820" s="309"/>
      <c r="AB7820" s="310"/>
    </row>
    <row r="7821" spans="13:28" s="308" customFormat="1" x14ac:dyDescent="0.2">
      <c r="M7821" s="309"/>
      <c r="AB7821" s="310"/>
    </row>
    <row r="7822" spans="13:28" s="308" customFormat="1" x14ac:dyDescent="0.2">
      <c r="M7822" s="309"/>
      <c r="AB7822" s="310"/>
    </row>
    <row r="7823" spans="13:28" s="308" customFormat="1" x14ac:dyDescent="0.2">
      <c r="M7823" s="309"/>
      <c r="AB7823" s="310"/>
    </row>
    <row r="7824" spans="13:28" s="308" customFormat="1" x14ac:dyDescent="0.2">
      <c r="M7824" s="309"/>
      <c r="AB7824" s="310"/>
    </row>
    <row r="7825" spans="13:28" s="308" customFormat="1" x14ac:dyDescent="0.2">
      <c r="M7825" s="309"/>
      <c r="AB7825" s="310"/>
    </row>
    <row r="7826" spans="13:28" s="308" customFormat="1" x14ac:dyDescent="0.2">
      <c r="M7826" s="309"/>
      <c r="AB7826" s="310"/>
    </row>
    <row r="7827" spans="13:28" s="308" customFormat="1" x14ac:dyDescent="0.2">
      <c r="M7827" s="309"/>
      <c r="AB7827" s="310"/>
    </row>
    <row r="7828" spans="13:28" s="308" customFormat="1" x14ac:dyDescent="0.2">
      <c r="M7828" s="309"/>
      <c r="AB7828" s="310"/>
    </row>
    <row r="7829" spans="13:28" s="308" customFormat="1" x14ac:dyDescent="0.2">
      <c r="M7829" s="309"/>
      <c r="AB7829" s="310"/>
    </row>
    <row r="7830" spans="13:28" s="308" customFormat="1" x14ac:dyDescent="0.2">
      <c r="M7830" s="309"/>
      <c r="AB7830" s="310"/>
    </row>
    <row r="7831" spans="13:28" s="308" customFormat="1" x14ac:dyDescent="0.2">
      <c r="M7831" s="309"/>
      <c r="AB7831" s="310"/>
    </row>
    <row r="7832" spans="13:28" s="308" customFormat="1" x14ac:dyDescent="0.2">
      <c r="M7832" s="309"/>
      <c r="AB7832" s="310"/>
    </row>
    <row r="7833" spans="13:28" s="308" customFormat="1" x14ac:dyDescent="0.2">
      <c r="M7833" s="309"/>
      <c r="AB7833" s="310"/>
    </row>
    <row r="7834" spans="13:28" s="308" customFormat="1" x14ac:dyDescent="0.2">
      <c r="M7834" s="309"/>
      <c r="AB7834" s="310"/>
    </row>
    <row r="7835" spans="13:28" s="308" customFormat="1" x14ac:dyDescent="0.2">
      <c r="M7835" s="309"/>
      <c r="AB7835" s="310"/>
    </row>
    <row r="7836" spans="13:28" s="308" customFormat="1" x14ac:dyDescent="0.2">
      <c r="M7836" s="309"/>
      <c r="AB7836" s="310"/>
    </row>
    <row r="7837" spans="13:28" s="308" customFormat="1" x14ac:dyDescent="0.2">
      <c r="M7837" s="309"/>
      <c r="AB7837" s="310"/>
    </row>
    <row r="7838" spans="13:28" s="308" customFormat="1" x14ac:dyDescent="0.2">
      <c r="M7838" s="309"/>
      <c r="AB7838" s="310"/>
    </row>
    <row r="7839" spans="13:28" s="308" customFormat="1" x14ac:dyDescent="0.2">
      <c r="M7839" s="309"/>
      <c r="AB7839" s="310"/>
    </row>
    <row r="7840" spans="13:28" s="308" customFormat="1" x14ac:dyDescent="0.2">
      <c r="M7840" s="309"/>
      <c r="AB7840" s="310"/>
    </row>
    <row r="7841" spans="13:28" s="308" customFormat="1" x14ac:dyDescent="0.2">
      <c r="M7841" s="309"/>
      <c r="AB7841" s="310"/>
    </row>
    <row r="7842" spans="13:28" s="308" customFormat="1" x14ac:dyDescent="0.2">
      <c r="M7842" s="309"/>
      <c r="AB7842" s="310"/>
    </row>
    <row r="7843" spans="13:28" s="308" customFormat="1" x14ac:dyDescent="0.2">
      <c r="M7843" s="309"/>
      <c r="AB7843" s="310"/>
    </row>
    <row r="7844" spans="13:28" s="308" customFormat="1" x14ac:dyDescent="0.2">
      <c r="M7844" s="309"/>
      <c r="AB7844" s="310"/>
    </row>
    <row r="7845" spans="13:28" s="308" customFormat="1" x14ac:dyDescent="0.2">
      <c r="M7845" s="309"/>
      <c r="AB7845" s="310"/>
    </row>
    <row r="7846" spans="13:28" s="308" customFormat="1" x14ac:dyDescent="0.2">
      <c r="M7846" s="309"/>
      <c r="AB7846" s="310"/>
    </row>
    <row r="7847" spans="13:28" s="308" customFormat="1" x14ac:dyDescent="0.2">
      <c r="M7847" s="309"/>
      <c r="AB7847" s="310"/>
    </row>
    <row r="7848" spans="13:28" s="308" customFormat="1" x14ac:dyDescent="0.2">
      <c r="M7848" s="309"/>
      <c r="AB7848" s="310"/>
    </row>
    <row r="7849" spans="13:28" s="308" customFormat="1" x14ac:dyDescent="0.2">
      <c r="M7849" s="309"/>
      <c r="AB7849" s="310"/>
    </row>
    <row r="7850" spans="13:28" s="308" customFormat="1" x14ac:dyDescent="0.2">
      <c r="M7850" s="309"/>
      <c r="AB7850" s="310"/>
    </row>
    <row r="7851" spans="13:28" s="308" customFormat="1" x14ac:dyDescent="0.2">
      <c r="M7851" s="309"/>
      <c r="AB7851" s="310"/>
    </row>
    <row r="7852" spans="13:28" s="308" customFormat="1" x14ac:dyDescent="0.2">
      <c r="M7852" s="309"/>
      <c r="AB7852" s="310"/>
    </row>
    <row r="7853" spans="13:28" s="308" customFormat="1" x14ac:dyDescent="0.2">
      <c r="M7853" s="309"/>
      <c r="AB7853" s="310"/>
    </row>
    <row r="7854" spans="13:28" s="308" customFormat="1" x14ac:dyDescent="0.2">
      <c r="M7854" s="309"/>
      <c r="AB7854" s="310"/>
    </row>
    <row r="7855" spans="13:28" s="308" customFormat="1" x14ac:dyDescent="0.2">
      <c r="M7855" s="309"/>
      <c r="AB7855" s="310"/>
    </row>
    <row r="7856" spans="13:28" s="308" customFormat="1" x14ac:dyDescent="0.2">
      <c r="M7856" s="309"/>
      <c r="AB7856" s="310"/>
    </row>
    <row r="7857" spans="13:28" s="308" customFormat="1" x14ac:dyDescent="0.2">
      <c r="M7857" s="309"/>
      <c r="AB7857" s="310"/>
    </row>
    <row r="7858" spans="13:28" s="308" customFormat="1" x14ac:dyDescent="0.2">
      <c r="M7858" s="309"/>
      <c r="AB7858" s="310"/>
    </row>
    <row r="7859" spans="13:28" s="308" customFormat="1" x14ac:dyDescent="0.2">
      <c r="M7859" s="309"/>
      <c r="AB7859" s="310"/>
    </row>
    <row r="7860" spans="13:28" s="308" customFormat="1" x14ac:dyDescent="0.2">
      <c r="M7860" s="309"/>
      <c r="AB7860" s="310"/>
    </row>
    <row r="7861" spans="13:28" s="308" customFormat="1" x14ac:dyDescent="0.2">
      <c r="M7861" s="309"/>
      <c r="AB7861" s="310"/>
    </row>
    <row r="7862" spans="13:28" s="308" customFormat="1" x14ac:dyDescent="0.2">
      <c r="M7862" s="309"/>
      <c r="AB7862" s="310"/>
    </row>
    <row r="7863" spans="13:28" s="308" customFormat="1" x14ac:dyDescent="0.2">
      <c r="M7863" s="309"/>
      <c r="AB7863" s="310"/>
    </row>
    <row r="7864" spans="13:28" s="308" customFormat="1" x14ac:dyDescent="0.2">
      <c r="M7864" s="309"/>
      <c r="AB7864" s="310"/>
    </row>
    <row r="7865" spans="13:28" s="308" customFormat="1" x14ac:dyDescent="0.2">
      <c r="M7865" s="309"/>
      <c r="AB7865" s="310"/>
    </row>
    <row r="7866" spans="13:28" s="308" customFormat="1" x14ac:dyDescent="0.2">
      <c r="M7866" s="309"/>
      <c r="AB7866" s="310"/>
    </row>
    <row r="7867" spans="13:28" s="308" customFormat="1" x14ac:dyDescent="0.2">
      <c r="M7867" s="309"/>
      <c r="AB7867" s="310"/>
    </row>
    <row r="7868" spans="13:28" s="308" customFormat="1" x14ac:dyDescent="0.2">
      <c r="M7868" s="309"/>
      <c r="AB7868" s="310"/>
    </row>
    <row r="7869" spans="13:28" s="308" customFormat="1" x14ac:dyDescent="0.2">
      <c r="M7869" s="309"/>
      <c r="AB7869" s="310"/>
    </row>
    <row r="7870" spans="13:28" s="308" customFormat="1" x14ac:dyDescent="0.2">
      <c r="M7870" s="309"/>
      <c r="AB7870" s="310"/>
    </row>
    <row r="7871" spans="13:28" s="308" customFormat="1" x14ac:dyDescent="0.2">
      <c r="M7871" s="309"/>
      <c r="AB7871" s="310"/>
    </row>
    <row r="7872" spans="13:28" s="308" customFormat="1" x14ac:dyDescent="0.2">
      <c r="M7872" s="309"/>
      <c r="AB7872" s="310"/>
    </row>
    <row r="7873" spans="13:28" s="308" customFormat="1" x14ac:dyDescent="0.2">
      <c r="M7873" s="309"/>
      <c r="AB7873" s="310"/>
    </row>
    <row r="7874" spans="13:28" s="308" customFormat="1" x14ac:dyDescent="0.2">
      <c r="M7874" s="309"/>
      <c r="AB7874" s="310"/>
    </row>
    <row r="7875" spans="13:28" s="308" customFormat="1" x14ac:dyDescent="0.2">
      <c r="M7875" s="309"/>
      <c r="AB7875" s="310"/>
    </row>
    <row r="7876" spans="13:28" s="308" customFormat="1" x14ac:dyDescent="0.2">
      <c r="M7876" s="309"/>
      <c r="AB7876" s="310"/>
    </row>
    <row r="7877" spans="13:28" s="308" customFormat="1" x14ac:dyDescent="0.2">
      <c r="M7877" s="309"/>
      <c r="AB7877" s="310"/>
    </row>
    <row r="7878" spans="13:28" s="308" customFormat="1" x14ac:dyDescent="0.2">
      <c r="M7878" s="309"/>
      <c r="AB7878" s="310"/>
    </row>
    <row r="7879" spans="13:28" s="308" customFormat="1" x14ac:dyDescent="0.2">
      <c r="M7879" s="309"/>
      <c r="AB7879" s="310"/>
    </row>
    <row r="7880" spans="13:28" s="308" customFormat="1" x14ac:dyDescent="0.2">
      <c r="M7880" s="309"/>
      <c r="AB7880" s="310"/>
    </row>
    <row r="7881" spans="13:28" s="308" customFormat="1" x14ac:dyDescent="0.2">
      <c r="M7881" s="309"/>
      <c r="AB7881" s="310"/>
    </row>
    <row r="7882" spans="13:28" s="308" customFormat="1" x14ac:dyDescent="0.2">
      <c r="M7882" s="309"/>
      <c r="AB7882" s="310"/>
    </row>
    <row r="7883" spans="13:28" s="308" customFormat="1" x14ac:dyDescent="0.2">
      <c r="M7883" s="309"/>
      <c r="AB7883" s="310"/>
    </row>
    <row r="7884" spans="13:28" s="308" customFormat="1" x14ac:dyDescent="0.2">
      <c r="M7884" s="309"/>
      <c r="AB7884" s="310"/>
    </row>
    <row r="7885" spans="13:28" s="308" customFormat="1" x14ac:dyDescent="0.2">
      <c r="M7885" s="309"/>
      <c r="AB7885" s="310"/>
    </row>
    <row r="7886" spans="13:28" s="308" customFormat="1" x14ac:dyDescent="0.2">
      <c r="M7886" s="309"/>
      <c r="AB7886" s="310"/>
    </row>
    <row r="7887" spans="13:28" s="308" customFormat="1" x14ac:dyDescent="0.2">
      <c r="M7887" s="309"/>
      <c r="AB7887" s="310"/>
    </row>
    <row r="7888" spans="13:28" s="308" customFormat="1" x14ac:dyDescent="0.2">
      <c r="M7888" s="309"/>
      <c r="AB7888" s="310"/>
    </row>
    <row r="7889" spans="13:28" s="308" customFormat="1" x14ac:dyDescent="0.2">
      <c r="M7889" s="309"/>
      <c r="AB7889" s="310"/>
    </row>
    <row r="7890" spans="13:28" s="308" customFormat="1" x14ac:dyDescent="0.2">
      <c r="M7890" s="309"/>
      <c r="AB7890" s="310"/>
    </row>
    <row r="7891" spans="13:28" s="308" customFormat="1" x14ac:dyDescent="0.2">
      <c r="M7891" s="309"/>
      <c r="AB7891" s="310"/>
    </row>
    <row r="7892" spans="13:28" s="308" customFormat="1" x14ac:dyDescent="0.2">
      <c r="M7892" s="309"/>
      <c r="AB7892" s="310"/>
    </row>
    <row r="7893" spans="13:28" s="308" customFormat="1" x14ac:dyDescent="0.2">
      <c r="M7893" s="309"/>
      <c r="AB7893" s="310"/>
    </row>
    <row r="7894" spans="13:28" s="308" customFormat="1" x14ac:dyDescent="0.2">
      <c r="M7894" s="309"/>
      <c r="AB7894" s="310"/>
    </row>
    <row r="7895" spans="13:28" s="308" customFormat="1" x14ac:dyDescent="0.2">
      <c r="M7895" s="309"/>
      <c r="AB7895" s="310"/>
    </row>
    <row r="7896" spans="13:28" s="308" customFormat="1" x14ac:dyDescent="0.2">
      <c r="M7896" s="309"/>
      <c r="AB7896" s="310"/>
    </row>
    <row r="7897" spans="13:28" s="308" customFormat="1" x14ac:dyDescent="0.2">
      <c r="M7897" s="309"/>
      <c r="AB7897" s="310"/>
    </row>
    <row r="7898" spans="13:28" s="308" customFormat="1" x14ac:dyDescent="0.2">
      <c r="M7898" s="309"/>
      <c r="AB7898" s="310"/>
    </row>
    <row r="7899" spans="13:28" s="308" customFormat="1" x14ac:dyDescent="0.2">
      <c r="M7899" s="309"/>
      <c r="AB7899" s="310"/>
    </row>
    <row r="7900" spans="13:28" s="308" customFormat="1" x14ac:dyDescent="0.2">
      <c r="M7900" s="309"/>
      <c r="AB7900" s="310"/>
    </row>
    <row r="7901" spans="13:28" s="308" customFormat="1" x14ac:dyDescent="0.2">
      <c r="M7901" s="309"/>
      <c r="AB7901" s="310"/>
    </row>
    <row r="7902" spans="13:28" s="308" customFormat="1" x14ac:dyDescent="0.2">
      <c r="M7902" s="309"/>
      <c r="AB7902" s="310"/>
    </row>
    <row r="7903" spans="13:28" s="308" customFormat="1" x14ac:dyDescent="0.2">
      <c r="M7903" s="309"/>
      <c r="AB7903" s="310"/>
    </row>
    <row r="7904" spans="13:28" s="308" customFormat="1" x14ac:dyDescent="0.2">
      <c r="M7904" s="309"/>
      <c r="AB7904" s="310"/>
    </row>
    <row r="7905" spans="13:28" s="308" customFormat="1" x14ac:dyDescent="0.2">
      <c r="M7905" s="309"/>
      <c r="AB7905" s="310"/>
    </row>
    <row r="7906" spans="13:28" s="308" customFormat="1" x14ac:dyDescent="0.2">
      <c r="M7906" s="309"/>
      <c r="AB7906" s="310"/>
    </row>
    <row r="7907" spans="13:28" s="308" customFormat="1" x14ac:dyDescent="0.2">
      <c r="M7907" s="309"/>
      <c r="AB7907" s="310"/>
    </row>
    <row r="7908" spans="13:28" s="308" customFormat="1" x14ac:dyDescent="0.2">
      <c r="M7908" s="309"/>
      <c r="AB7908" s="310"/>
    </row>
    <row r="7909" spans="13:28" s="308" customFormat="1" x14ac:dyDescent="0.2">
      <c r="M7909" s="309"/>
      <c r="AB7909" s="310"/>
    </row>
    <row r="7910" spans="13:28" s="308" customFormat="1" x14ac:dyDescent="0.2">
      <c r="M7910" s="309"/>
      <c r="AB7910" s="310"/>
    </row>
    <row r="7911" spans="13:28" s="308" customFormat="1" x14ac:dyDescent="0.2">
      <c r="M7911" s="309"/>
      <c r="AB7911" s="310"/>
    </row>
    <row r="7912" spans="13:28" s="308" customFormat="1" x14ac:dyDescent="0.2">
      <c r="M7912" s="309"/>
      <c r="AB7912" s="310"/>
    </row>
    <row r="7913" spans="13:28" s="308" customFormat="1" x14ac:dyDescent="0.2">
      <c r="M7913" s="309"/>
      <c r="AB7913" s="310"/>
    </row>
    <row r="7914" spans="13:28" s="308" customFormat="1" x14ac:dyDescent="0.2">
      <c r="M7914" s="309"/>
      <c r="AB7914" s="310"/>
    </row>
    <row r="7915" spans="13:28" s="308" customFormat="1" x14ac:dyDescent="0.2">
      <c r="M7915" s="309"/>
      <c r="AB7915" s="310"/>
    </row>
    <row r="7916" spans="13:28" s="308" customFormat="1" x14ac:dyDescent="0.2">
      <c r="M7916" s="309"/>
      <c r="AB7916" s="310"/>
    </row>
    <row r="7917" spans="13:28" s="308" customFormat="1" x14ac:dyDescent="0.2">
      <c r="M7917" s="309"/>
      <c r="AB7917" s="310"/>
    </row>
    <row r="7918" spans="13:28" s="308" customFormat="1" x14ac:dyDescent="0.2">
      <c r="M7918" s="309"/>
      <c r="AB7918" s="310"/>
    </row>
    <row r="7919" spans="13:28" s="308" customFormat="1" x14ac:dyDescent="0.2">
      <c r="M7919" s="309"/>
      <c r="AB7919" s="310"/>
    </row>
    <row r="7920" spans="13:28" s="308" customFormat="1" x14ac:dyDescent="0.2">
      <c r="M7920" s="309"/>
      <c r="AB7920" s="310"/>
    </row>
    <row r="7921" spans="13:28" s="308" customFormat="1" x14ac:dyDescent="0.2">
      <c r="M7921" s="309"/>
      <c r="AB7921" s="310"/>
    </row>
    <row r="7922" spans="13:28" s="308" customFormat="1" x14ac:dyDescent="0.2">
      <c r="M7922" s="309"/>
      <c r="AB7922" s="310"/>
    </row>
    <row r="7923" spans="13:28" s="308" customFormat="1" x14ac:dyDescent="0.2">
      <c r="M7923" s="309"/>
      <c r="AB7923" s="310"/>
    </row>
    <row r="7924" spans="13:28" s="308" customFormat="1" x14ac:dyDescent="0.2">
      <c r="M7924" s="309"/>
      <c r="AB7924" s="310"/>
    </row>
    <row r="7925" spans="13:28" s="308" customFormat="1" x14ac:dyDescent="0.2">
      <c r="M7925" s="309"/>
      <c r="AB7925" s="310"/>
    </row>
    <row r="7926" spans="13:28" s="308" customFormat="1" x14ac:dyDescent="0.2">
      <c r="M7926" s="309"/>
      <c r="AB7926" s="310"/>
    </row>
    <row r="7927" spans="13:28" s="308" customFormat="1" x14ac:dyDescent="0.2">
      <c r="M7927" s="309"/>
      <c r="AB7927" s="310"/>
    </row>
    <row r="7928" spans="13:28" s="308" customFormat="1" x14ac:dyDescent="0.2">
      <c r="M7928" s="309"/>
      <c r="AB7928" s="310"/>
    </row>
    <row r="7929" spans="13:28" s="308" customFormat="1" x14ac:dyDescent="0.2">
      <c r="M7929" s="309"/>
      <c r="AB7929" s="310"/>
    </row>
    <row r="7930" spans="13:28" s="308" customFormat="1" x14ac:dyDescent="0.2">
      <c r="M7930" s="309"/>
      <c r="AB7930" s="310"/>
    </row>
    <row r="7931" spans="13:28" s="308" customFormat="1" x14ac:dyDescent="0.2">
      <c r="M7931" s="309"/>
      <c r="AB7931" s="310"/>
    </row>
    <row r="7932" spans="13:28" s="308" customFormat="1" x14ac:dyDescent="0.2">
      <c r="M7932" s="309"/>
      <c r="AB7932" s="310"/>
    </row>
    <row r="7933" spans="13:28" s="308" customFormat="1" x14ac:dyDescent="0.2">
      <c r="M7933" s="309"/>
      <c r="AB7933" s="310"/>
    </row>
    <row r="7934" spans="13:28" s="308" customFormat="1" x14ac:dyDescent="0.2">
      <c r="M7934" s="309"/>
      <c r="AB7934" s="310"/>
    </row>
    <row r="7935" spans="13:28" s="308" customFormat="1" x14ac:dyDescent="0.2">
      <c r="M7935" s="309"/>
      <c r="AB7935" s="310"/>
    </row>
    <row r="7936" spans="13:28" s="308" customFormat="1" x14ac:dyDescent="0.2">
      <c r="M7936" s="309"/>
      <c r="AB7936" s="310"/>
    </row>
    <row r="7937" spans="13:28" s="308" customFormat="1" x14ac:dyDescent="0.2">
      <c r="M7937" s="309"/>
      <c r="AB7937" s="310"/>
    </row>
    <row r="7938" spans="13:28" s="308" customFormat="1" x14ac:dyDescent="0.2">
      <c r="M7938" s="309"/>
      <c r="AB7938" s="310"/>
    </row>
    <row r="7939" spans="13:28" s="308" customFormat="1" x14ac:dyDescent="0.2">
      <c r="M7939" s="309"/>
      <c r="AB7939" s="310"/>
    </row>
    <row r="7940" spans="13:28" s="308" customFormat="1" x14ac:dyDescent="0.2">
      <c r="M7940" s="309"/>
      <c r="AB7940" s="310"/>
    </row>
    <row r="7941" spans="13:28" s="308" customFormat="1" x14ac:dyDescent="0.2">
      <c r="M7941" s="309"/>
      <c r="AB7941" s="310"/>
    </row>
    <row r="7942" spans="13:28" s="308" customFormat="1" x14ac:dyDescent="0.2">
      <c r="M7942" s="309"/>
      <c r="AB7942" s="310"/>
    </row>
    <row r="7943" spans="13:28" s="308" customFormat="1" x14ac:dyDescent="0.2">
      <c r="M7943" s="309"/>
      <c r="AB7943" s="310"/>
    </row>
    <row r="7944" spans="13:28" s="308" customFormat="1" x14ac:dyDescent="0.2">
      <c r="M7944" s="309"/>
      <c r="AB7944" s="310"/>
    </row>
    <row r="7945" spans="13:28" s="308" customFormat="1" x14ac:dyDescent="0.2">
      <c r="M7945" s="309"/>
      <c r="AB7945" s="310"/>
    </row>
    <row r="7946" spans="13:28" s="308" customFormat="1" x14ac:dyDescent="0.2">
      <c r="M7946" s="309"/>
      <c r="AB7946" s="310"/>
    </row>
    <row r="7947" spans="13:28" s="308" customFormat="1" x14ac:dyDescent="0.2">
      <c r="M7947" s="309"/>
      <c r="AB7947" s="310"/>
    </row>
    <row r="7948" spans="13:28" s="308" customFormat="1" x14ac:dyDescent="0.2">
      <c r="M7948" s="309"/>
      <c r="AB7948" s="310"/>
    </row>
    <row r="7949" spans="13:28" s="308" customFormat="1" x14ac:dyDescent="0.2">
      <c r="M7949" s="309"/>
      <c r="AB7949" s="310"/>
    </row>
    <row r="7950" spans="13:28" s="308" customFormat="1" x14ac:dyDescent="0.2">
      <c r="M7950" s="309"/>
      <c r="AB7950" s="310"/>
    </row>
    <row r="7951" spans="13:28" s="308" customFormat="1" x14ac:dyDescent="0.2">
      <c r="M7951" s="309"/>
      <c r="AB7951" s="310"/>
    </row>
    <row r="7952" spans="13:28" s="308" customFormat="1" x14ac:dyDescent="0.2">
      <c r="M7952" s="309"/>
      <c r="AB7952" s="310"/>
    </row>
    <row r="7953" spans="13:28" s="308" customFormat="1" x14ac:dyDescent="0.2">
      <c r="M7953" s="309"/>
      <c r="AB7953" s="310"/>
    </row>
    <row r="7954" spans="13:28" s="308" customFormat="1" x14ac:dyDescent="0.2">
      <c r="M7954" s="309"/>
      <c r="AB7954" s="310"/>
    </row>
    <row r="7955" spans="13:28" s="308" customFormat="1" x14ac:dyDescent="0.2">
      <c r="M7955" s="309"/>
      <c r="AB7955" s="310"/>
    </row>
    <row r="7956" spans="13:28" s="308" customFormat="1" x14ac:dyDescent="0.2">
      <c r="M7956" s="309"/>
      <c r="AB7956" s="310"/>
    </row>
    <row r="7957" spans="13:28" s="308" customFormat="1" x14ac:dyDescent="0.2">
      <c r="M7957" s="309"/>
      <c r="AB7957" s="310"/>
    </row>
    <row r="7958" spans="13:28" s="308" customFormat="1" x14ac:dyDescent="0.2">
      <c r="M7958" s="309"/>
      <c r="AB7958" s="310"/>
    </row>
    <row r="7959" spans="13:28" s="308" customFormat="1" x14ac:dyDescent="0.2">
      <c r="M7959" s="309"/>
      <c r="AB7959" s="310"/>
    </row>
    <row r="7960" spans="13:28" s="308" customFormat="1" x14ac:dyDescent="0.2">
      <c r="M7960" s="309"/>
      <c r="AB7960" s="310"/>
    </row>
    <row r="7961" spans="13:28" s="308" customFormat="1" x14ac:dyDescent="0.2">
      <c r="M7961" s="309"/>
      <c r="AB7961" s="310"/>
    </row>
    <row r="7962" spans="13:28" s="308" customFormat="1" x14ac:dyDescent="0.2">
      <c r="M7962" s="309"/>
      <c r="AB7962" s="310"/>
    </row>
    <row r="7963" spans="13:28" s="308" customFormat="1" x14ac:dyDescent="0.2">
      <c r="M7963" s="309"/>
      <c r="AB7963" s="310"/>
    </row>
    <row r="7964" spans="13:28" s="308" customFormat="1" x14ac:dyDescent="0.2">
      <c r="M7964" s="309"/>
      <c r="AB7964" s="310"/>
    </row>
    <row r="7965" spans="13:28" s="308" customFormat="1" x14ac:dyDescent="0.2">
      <c r="M7965" s="309"/>
      <c r="AB7965" s="310"/>
    </row>
    <row r="7966" spans="13:28" s="308" customFormat="1" x14ac:dyDescent="0.2">
      <c r="M7966" s="309"/>
      <c r="AB7966" s="310"/>
    </row>
    <row r="7967" spans="13:28" s="308" customFormat="1" x14ac:dyDescent="0.2">
      <c r="M7967" s="309"/>
      <c r="AB7967" s="310"/>
    </row>
    <row r="7968" spans="13:28" s="308" customFormat="1" x14ac:dyDescent="0.2">
      <c r="M7968" s="309"/>
      <c r="AB7968" s="310"/>
    </row>
    <row r="7969" spans="13:28" s="308" customFormat="1" x14ac:dyDescent="0.2">
      <c r="M7969" s="309"/>
      <c r="AB7969" s="310"/>
    </row>
    <row r="7970" spans="13:28" s="308" customFormat="1" x14ac:dyDescent="0.2">
      <c r="M7970" s="309"/>
      <c r="AB7970" s="310"/>
    </row>
    <row r="7971" spans="13:28" s="308" customFormat="1" x14ac:dyDescent="0.2">
      <c r="M7971" s="309"/>
      <c r="AB7971" s="310"/>
    </row>
    <row r="7972" spans="13:28" s="308" customFormat="1" x14ac:dyDescent="0.2">
      <c r="M7972" s="309"/>
      <c r="AB7972" s="310"/>
    </row>
    <row r="7973" spans="13:28" s="308" customFormat="1" x14ac:dyDescent="0.2">
      <c r="M7973" s="309"/>
      <c r="AB7973" s="310"/>
    </row>
    <row r="7974" spans="13:28" s="308" customFormat="1" x14ac:dyDescent="0.2">
      <c r="M7974" s="309"/>
      <c r="AB7974" s="310"/>
    </row>
    <row r="7975" spans="13:28" s="308" customFormat="1" x14ac:dyDescent="0.2">
      <c r="M7975" s="309"/>
      <c r="AB7975" s="310"/>
    </row>
    <row r="7976" spans="13:28" s="308" customFormat="1" x14ac:dyDescent="0.2">
      <c r="M7976" s="309"/>
      <c r="AB7976" s="310"/>
    </row>
    <row r="7977" spans="13:28" s="308" customFormat="1" x14ac:dyDescent="0.2">
      <c r="M7977" s="309"/>
      <c r="AB7977" s="310"/>
    </row>
    <row r="7978" spans="13:28" s="308" customFormat="1" x14ac:dyDescent="0.2">
      <c r="M7978" s="309"/>
      <c r="AB7978" s="310"/>
    </row>
    <row r="7979" spans="13:28" s="308" customFormat="1" x14ac:dyDescent="0.2">
      <c r="M7979" s="309"/>
      <c r="AB7979" s="310"/>
    </row>
    <row r="7980" spans="13:28" s="308" customFormat="1" x14ac:dyDescent="0.2">
      <c r="M7980" s="309"/>
      <c r="AB7980" s="310"/>
    </row>
    <row r="7981" spans="13:28" s="308" customFormat="1" x14ac:dyDescent="0.2">
      <c r="M7981" s="309"/>
      <c r="AB7981" s="310"/>
    </row>
    <row r="7982" spans="13:28" s="308" customFormat="1" x14ac:dyDescent="0.2">
      <c r="M7982" s="309"/>
      <c r="AB7982" s="310"/>
    </row>
    <row r="7983" spans="13:28" s="308" customFormat="1" x14ac:dyDescent="0.2">
      <c r="M7983" s="309"/>
      <c r="AB7983" s="310"/>
    </row>
    <row r="7984" spans="13:28" s="308" customFormat="1" x14ac:dyDescent="0.2">
      <c r="M7984" s="309"/>
      <c r="AB7984" s="310"/>
    </row>
    <row r="7985" spans="13:28" s="308" customFormat="1" x14ac:dyDescent="0.2">
      <c r="M7985" s="309"/>
      <c r="AB7985" s="310"/>
    </row>
    <row r="7986" spans="13:28" s="308" customFormat="1" x14ac:dyDescent="0.2">
      <c r="M7986" s="309"/>
      <c r="AB7986" s="310"/>
    </row>
    <row r="7987" spans="13:28" s="308" customFormat="1" x14ac:dyDescent="0.2">
      <c r="M7987" s="309"/>
      <c r="AB7987" s="310"/>
    </row>
    <row r="7988" spans="13:28" s="308" customFormat="1" x14ac:dyDescent="0.2">
      <c r="M7988" s="309"/>
      <c r="AB7988" s="310"/>
    </row>
    <row r="7989" spans="13:28" s="308" customFormat="1" x14ac:dyDescent="0.2">
      <c r="M7989" s="309"/>
      <c r="AB7989" s="310"/>
    </row>
    <row r="7990" spans="13:28" s="308" customFormat="1" x14ac:dyDescent="0.2">
      <c r="M7990" s="309"/>
      <c r="AB7990" s="310"/>
    </row>
    <row r="7991" spans="13:28" s="308" customFormat="1" x14ac:dyDescent="0.2">
      <c r="M7991" s="309"/>
      <c r="AB7991" s="310"/>
    </row>
    <row r="7992" spans="13:28" s="308" customFormat="1" x14ac:dyDescent="0.2">
      <c r="M7992" s="309"/>
      <c r="AB7992" s="310"/>
    </row>
    <row r="7993" spans="13:28" s="308" customFormat="1" x14ac:dyDescent="0.2">
      <c r="M7993" s="309"/>
      <c r="AB7993" s="310"/>
    </row>
    <row r="7994" spans="13:28" s="308" customFormat="1" x14ac:dyDescent="0.2">
      <c r="M7994" s="309"/>
      <c r="AB7994" s="310"/>
    </row>
    <row r="7995" spans="13:28" s="308" customFormat="1" x14ac:dyDescent="0.2">
      <c r="M7995" s="309"/>
      <c r="AB7995" s="310"/>
    </row>
    <row r="7996" spans="13:28" s="308" customFormat="1" x14ac:dyDescent="0.2">
      <c r="M7996" s="309"/>
      <c r="AB7996" s="310"/>
    </row>
    <row r="7997" spans="13:28" s="308" customFormat="1" x14ac:dyDescent="0.2">
      <c r="M7997" s="309"/>
      <c r="AB7997" s="310"/>
    </row>
    <row r="7998" spans="13:28" s="308" customFormat="1" x14ac:dyDescent="0.2">
      <c r="M7998" s="309"/>
      <c r="AB7998" s="310"/>
    </row>
    <row r="7999" spans="13:28" s="308" customFormat="1" x14ac:dyDescent="0.2">
      <c r="M7999" s="309"/>
      <c r="AB7999" s="310"/>
    </row>
    <row r="8000" spans="13:28" s="308" customFormat="1" x14ac:dyDescent="0.2">
      <c r="M8000" s="309"/>
      <c r="AB8000" s="310"/>
    </row>
    <row r="8001" spans="13:28" s="308" customFormat="1" x14ac:dyDescent="0.2">
      <c r="M8001" s="309"/>
      <c r="AB8001" s="310"/>
    </row>
    <row r="8002" spans="13:28" s="308" customFormat="1" x14ac:dyDescent="0.2">
      <c r="M8002" s="309"/>
      <c r="AB8002" s="310"/>
    </row>
    <row r="8003" spans="13:28" s="308" customFormat="1" x14ac:dyDescent="0.2">
      <c r="M8003" s="309"/>
      <c r="AB8003" s="310"/>
    </row>
    <row r="8004" spans="13:28" s="308" customFormat="1" x14ac:dyDescent="0.2">
      <c r="M8004" s="309"/>
      <c r="AB8004" s="310"/>
    </row>
    <row r="8005" spans="13:28" s="308" customFormat="1" x14ac:dyDescent="0.2">
      <c r="M8005" s="309"/>
      <c r="AB8005" s="310"/>
    </row>
    <row r="8006" spans="13:28" s="308" customFormat="1" x14ac:dyDescent="0.2">
      <c r="M8006" s="309"/>
      <c r="AB8006" s="310"/>
    </row>
    <row r="8007" spans="13:28" s="308" customFormat="1" x14ac:dyDescent="0.2">
      <c r="M8007" s="309"/>
      <c r="AB8007" s="310"/>
    </row>
    <row r="8008" spans="13:28" s="308" customFormat="1" x14ac:dyDescent="0.2">
      <c r="M8008" s="309"/>
      <c r="AB8008" s="310"/>
    </row>
    <row r="8009" spans="13:28" s="308" customFormat="1" x14ac:dyDescent="0.2">
      <c r="M8009" s="309"/>
      <c r="AB8009" s="310"/>
    </row>
    <row r="8010" spans="13:28" s="308" customFormat="1" x14ac:dyDescent="0.2">
      <c r="M8010" s="309"/>
      <c r="AB8010" s="310"/>
    </row>
    <row r="8011" spans="13:28" s="308" customFormat="1" x14ac:dyDescent="0.2">
      <c r="M8011" s="309"/>
      <c r="AB8011" s="310"/>
    </row>
    <row r="8012" spans="13:28" s="308" customFormat="1" x14ac:dyDescent="0.2">
      <c r="M8012" s="309"/>
      <c r="AB8012" s="310"/>
    </row>
    <row r="8013" spans="13:28" s="308" customFormat="1" x14ac:dyDescent="0.2">
      <c r="M8013" s="309"/>
      <c r="AB8013" s="310"/>
    </row>
    <row r="8014" spans="13:28" s="308" customFormat="1" x14ac:dyDescent="0.2">
      <c r="M8014" s="309"/>
      <c r="AB8014" s="310"/>
    </row>
    <row r="8015" spans="13:28" s="308" customFormat="1" x14ac:dyDescent="0.2">
      <c r="M8015" s="309"/>
      <c r="AB8015" s="310"/>
    </row>
    <row r="8016" spans="13:28" s="308" customFormat="1" x14ac:dyDescent="0.2">
      <c r="M8016" s="309"/>
      <c r="AB8016" s="310"/>
    </row>
    <row r="8017" spans="13:28" s="308" customFormat="1" x14ac:dyDescent="0.2">
      <c r="M8017" s="309"/>
      <c r="AB8017" s="310"/>
    </row>
    <row r="8018" spans="13:28" s="308" customFormat="1" x14ac:dyDescent="0.2">
      <c r="M8018" s="309"/>
      <c r="AB8018" s="310"/>
    </row>
    <row r="8019" spans="13:28" s="308" customFormat="1" x14ac:dyDescent="0.2">
      <c r="M8019" s="309"/>
      <c r="AB8019" s="310"/>
    </row>
    <row r="8020" spans="13:28" s="308" customFormat="1" x14ac:dyDescent="0.2">
      <c r="M8020" s="309"/>
      <c r="AB8020" s="310"/>
    </row>
    <row r="8021" spans="13:28" s="308" customFormat="1" x14ac:dyDescent="0.2">
      <c r="M8021" s="309"/>
      <c r="AB8021" s="310"/>
    </row>
    <row r="8022" spans="13:28" s="308" customFormat="1" x14ac:dyDescent="0.2">
      <c r="M8022" s="309"/>
      <c r="AB8022" s="310"/>
    </row>
    <row r="8023" spans="13:28" s="308" customFormat="1" x14ac:dyDescent="0.2">
      <c r="M8023" s="309"/>
      <c r="AB8023" s="310"/>
    </row>
    <row r="8024" spans="13:28" s="308" customFormat="1" x14ac:dyDescent="0.2">
      <c r="M8024" s="309"/>
      <c r="AB8024" s="310"/>
    </row>
    <row r="8025" spans="13:28" s="308" customFormat="1" x14ac:dyDescent="0.2">
      <c r="M8025" s="309"/>
      <c r="AB8025" s="310"/>
    </row>
    <row r="8026" spans="13:28" s="308" customFormat="1" x14ac:dyDescent="0.2">
      <c r="M8026" s="309"/>
      <c r="AB8026" s="310"/>
    </row>
    <row r="8027" spans="13:28" s="308" customFormat="1" x14ac:dyDescent="0.2">
      <c r="M8027" s="309"/>
      <c r="AB8027" s="310"/>
    </row>
    <row r="8028" spans="13:28" s="308" customFormat="1" x14ac:dyDescent="0.2">
      <c r="M8028" s="309"/>
      <c r="AB8028" s="310"/>
    </row>
    <row r="8029" spans="13:28" s="308" customFormat="1" x14ac:dyDescent="0.2">
      <c r="M8029" s="309"/>
      <c r="AB8029" s="310"/>
    </row>
    <row r="8030" spans="13:28" s="308" customFormat="1" x14ac:dyDescent="0.2">
      <c r="M8030" s="309"/>
      <c r="AB8030" s="310"/>
    </row>
    <row r="8031" spans="13:28" s="308" customFormat="1" x14ac:dyDescent="0.2">
      <c r="M8031" s="309"/>
      <c r="AB8031" s="310"/>
    </row>
    <row r="8032" spans="13:28" s="308" customFormat="1" x14ac:dyDescent="0.2">
      <c r="M8032" s="309"/>
      <c r="AB8032" s="310"/>
    </row>
    <row r="8033" spans="13:28" s="308" customFormat="1" x14ac:dyDescent="0.2">
      <c r="M8033" s="309"/>
      <c r="AB8033" s="310"/>
    </row>
    <row r="8034" spans="13:28" s="308" customFormat="1" x14ac:dyDescent="0.2">
      <c r="M8034" s="309"/>
      <c r="AB8034" s="310"/>
    </row>
    <row r="8035" spans="13:28" s="308" customFormat="1" x14ac:dyDescent="0.2">
      <c r="M8035" s="309"/>
      <c r="AB8035" s="310"/>
    </row>
    <row r="8036" spans="13:28" s="308" customFormat="1" x14ac:dyDescent="0.2">
      <c r="M8036" s="309"/>
      <c r="AB8036" s="310"/>
    </row>
    <row r="8037" spans="13:28" s="308" customFormat="1" x14ac:dyDescent="0.2">
      <c r="M8037" s="309"/>
      <c r="AB8037" s="310"/>
    </row>
    <row r="8038" spans="13:28" s="308" customFormat="1" x14ac:dyDescent="0.2">
      <c r="M8038" s="309"/>
      <c r="AB8038" s="310"/>
    </row>
    <row r="8039" spans="13:28" s="308" customFormat="1" x14ac:dyDescent="0.2">
      <c r="M8039" s="309"/>
      <c r="AB8039" s="310"/>
    </row>
    <row r="8040" spans="13:28" s="308" customFormat="1" x14ac:dyDescent="0.2">
      <c r="M8040" s="309"/>
      <c r="AB8040" s="310"/>
    </row>
    <row r="8041" spans="13:28" s="308" customFormat="1" x14ac:dyDescent="0.2">
      <c r="M8041" s="309"/>
      <c r="AB8041" s="310"/>
    </row>
    <row r="8042" spans="13:28" s="308" customFormat="1" x14ac:dyDescent="0.2">
      <c r="M8042" s="309"/>
      <c r="AB8042" s="310"/>
    </row>
    <row r="8043" spans="13:28" s="308" customFormat="1" x14ac:dyDescent="0.2">
      <c r="M8043" s="309"/>
      <c r="AB8043" s="310"/>
    </row>
    <row r="8044" spans="13:28" s="308" customFormat="1" x14ac:dyDescent="0.2">
      <c r="M8044" s="309"/>
      <c r="AB8044" s="310"/>
    </row>
    <row r="8045" spans="13:28" s="308" customFormat="1" x14ac:dyDescent="0.2">
      <c r="M8045" s="309"/>
      <c r="AB8045" s="310"/>
    </row>
    <row r="8046" spans="13:28" s="308" customFormat="1" x14ac:dyDescent="0.2">
      <c r="M8046" s="309"/>
      <c r="AB8046" s="310"/>
    </row>
    <row r="8047" spans="13:28" s="308" customFormat="1" x14ac:dyDescent="0.2">
      <c r="M8047" s="309"/>
      <c r="AB8047" s="310"/>
    </row>
    <row r="8048" spans="13:28" s="308" customFormat="1" x14ac:dyDescent="0.2">
      <c r="M8048" s="309"/>
      <c r="AB8048" s="310"/>
    </row>
    <row r="8049" spans="13:28" s="308" customFormat="1" x14ac:dyDescent="0.2">
      <c r="M8049" s="309"/>
      <c r="AB8049" s="310"/>
    </row>
    <row r="8050" spans="13:28" s="308" customFormat="1" x14ac:dyDescent="0.2">
      <c r="M8050" s="309"/>
      <c r="AB8050" s="310"/>
    </row>
    <row r="8051" spans="13:28" s="308" customFormat="1" x14ac:dyDescent="0.2">
      <c r="M8051" s="309"/>
      <c r="AB8051" s="310"/>
    </row>
    <row r="8052" spans="13:28" s="308" customFormat="1" x14ac:dyDescent="0.2">
      <c r="M8052" s="309"/>
      <c r="AB8052" s="310"/>
    </row>
    <row r="8053" spans="13:28" s="308" customFormat="1" x14ac:dyDescent="0.2">
      <c r="M8053" s="309"/>
      <c r="AB8053" s="310"/>
    </row>
    <row r="8054" spans="13:28" s="308" customFormat="1" x14ac:dyDescent="0.2">
      <c r="M8054" s="309"/>
      <c r="AB8054" s="310"/>
    </row>
    <row r="8055" spans="13:28" s="308" customFormat="1" x14ac:dyDescent="0.2">
      <c r="M8055" s="309"/>
      <c r="AB8055" s="310"/>
    </row>
    <row r="8056" spans="13:28" s="308" customFormat="1" x14ac:dyDescent="0.2">
      <c r="M8056" s="309"/>
      <c r="AB8056" s="310"/>
    </row>
    <row r="8057" spans="13:28" s="308" customFormat="1" x14ac:dyDescent="0.2">
      <c r="M8057" s="309"/>
      <c r="AB8057" s="310"/>
    </row>
    <row r="8058" spans="13:28" s="308" customFormat="1" x14ac:dyDescent="0.2">
      <c r="M8058" s="309"/>
      <c r="AB8058" s="310"/>
    </row>
    <row r="8059" spans="13:28" s="308" customFormat="1" x14ac:dyDescent="0.2">
      <c r="M8059" s="309"/>
      <c r="AB8059" s="310"/>
    </row>
    <row r="8060" spans="13:28" s="308" customFormat="1" x14ac:dyDescent="0.2">
      <c r="M8060" s="309"/>
      <c r="AB8060" s="310"/>
    </row>
    <row r="8061" spans="13:28" s="308" customFormat="1" x14ac:dyDescent="0.2">
      <c r="M8061" s="309"/>
      <c r="AB8061" s="310"/>
    </row>
    <row r="8062" spans="13:28" s="308" customFormat="1" x14ac:dyDescent="0.2">
      <c r="M8062" s="309"/>
      <c r="AB8062" s="310"/>
    </row>
    <row r="8063" spans="13:28" s="308" customFormat="1" x14ac:dyDescent="0.2">
      <c r="M8063" s="309"/>
      <c r="AB8063" s="310"/>
    </row>
    <row r="8064" spans="13:28" s="308" customFormat="1" x14ac:dyDescent="0.2">
      <c r="M8064" s="309"/>
      <c r="AB8064" s="310"/>
    </row>
    <row r="8065" spans="13:28" s="308" customFormat="1" x14ac:dyDescent="0.2">
      <c r="M8065" s="309"/>
      <c r="AB8065" s="310"/>
    </row>
    <row r="8066" spans="13:28" s="308" customFormat="1" x14ac:dyDescent="0.2">
      <c r="M8066" s="309"/>
      <c r="AB8066" s="310"/>
    </row>
    <row r="8067" spans="13:28" s="308" customFormat="1" x14ac:dyDescent="0.2">
      <c r="M8067" s="309"/>
      <c r="AB8067" s="310"/>
    </row>
    <row r="8068" spans="13:28" s="308" customFormat="1" x14ac:dyDescent="0.2">
      <c r="M8068" s="309"/>
      <c r="AB8068" s="310"/>
    </row>
    <row r="8069" spans="13:28" s="308" customFormat="1" x14ac:dyDescent="0.2">
      <c r="M8069" s="309"/>
      <c r="AB8069" s="310"/>
    </row>
    <row r="8070" spans="13:28" s="308" customFormat="1" x14ac:dyDescent="0.2">
      <c r="M8070" s="309"/>
      <c r="AB8070" s="310"/>
    </row>
    <row r="8071" spans="13:28" s="308" customFormat="1" x14ac:dyDescent="0.2">
      <c r="M8071" s="309"/>
      <c r="AB8071" s="310"/>
    </row>
    <row r="8072" spans="13:28" s="308" customFormat="1" x14ac:dyDescent="0.2">
      <c r="M8072" s="309"/>
      <c r="AB8072" s="310"/>
    </row>
    <row r="8073" spans="13:28" s="308" customFormat="1" x14ac:dyDescent="0.2">
      <c r="M8073" s="309"/>
      <c r="AB8073" s="310"/>
    </row>
    <row r="8074" spans="13:28" s="308" customFormat="1" x14ac:dyDescent="0.2">
      <c r="M8074" s="309"/>
      <c r="AB8074" s="310"/>
    </row>
    <row r="8075" spans="13:28" s="308" customFormat="1" x14ac:dyDescent="0.2">
      <c r="M8075" s="309"/>
      <c r="AB8075" s="310"/>
    </row>
    <row r="8076" spans="13:28" s="308" customFormat="1" x14ac:dyDescent="0.2">
      <c r="M8076" s="309"/>
      <c r="AB8076" s="310"/>
    </row>
    <row r="8077" spans="13:28" s="308" customFormat="1" x14ac:dyDescent="0.2">
      <c r="M8077" s="309"/>
      <c r="AB8077" s="310"/>
    </row>
    <row r="8078" spans="13:28" s="308" customFormat="1" x14ac:dyDescent="0.2">
      <c r="M8078" s="309"/>
      <c r="AB8078" s="310"/>
    </row>
    <row r="8079" spans="13:28" s="308" customFormat="1" x14ac:dyDescent="0.2">
      <c r="M8079" s="309"/>
      <c r="AB8079" s="310"/>
    </row>
    <row r="8080" spans="13:28" s="308" customFormat="1" x14ac:dyDescent="0.2">
      <c r="M8080" s="309"/>
      <c r="AB8080" s="310"/>
    </row>
    <row r="8081" spans="13:28" s="308" customFormat="1" x14ac:dyDescent="0.2">
      <c r="M8081" s="309"/>
      <c r="AB8081" s="310"/>
    </row>
    <row r="8082" spans="13:28" s="308" customFormat="1" x14ac:dyDescent="0.2">
      <c r="M8082" s="309"/>
      <c r="AB8082" s="310"/>
    </row>
    <row r="8083" spans="13:28" s="308" customFormat="1" x14ac:dyDescent="0.2">
      <c r="M8083" s="309"/>
      <c r="AB8083" s="310"/>
    </row>
    <row r="8084" spans="13:28" s="308" customFormat="1" x14ac:dyDescent="0.2">
      <c r="M8084" s="309"/>
      <c r="AB8084" s="310"/>
    </row>
    <row r="8085" spans="13:28" s="308" customFormat="1" x14ac:dyDescent="0.2">
      <c r="M8085" s="309"/>
      <c r="AB8085" s="310"/>
    </row>
    <row r="8086" spans="13:28" s="308" customFormat="1" x14ac:dyDescent="0.2">
      <c r="M8086" s="309"/>
      <c r="AB8086" s="310"/>
    </row>
    <row r="8087" spans="13:28" s="308" customFormat="1" x14ac:dyDescent="0.2">
      <c r="M8087" s="309"/>
      <c r="AB8087" s="310"/>
    </row>
    <row r="8088" spans="13:28" s="308" customFormat="1" x14ac:dyDescent="0.2">
      <c r="M8088" s="309"/>
      <c r="AB8088" s="310"/>
    </row>
    <row r="8089" spans="13:28" s="308" customFormat="1" x14ac:dyDescent="0.2">
      <c r="M8089" s="309"/>
      <c r="AB8089" s="310"/>
    </row>
    <row r="8090" spans="13:28" s="308" customFormat="1" x14ac:dyDescent="0.2">
      <c r="M8090" s="309"/>
      <c r="AB8090" s="310"/>
    </row>
    <row r="8091" spans="13:28" s="308" customFormat="1" x14ac:dyDescent="0.2">
      <c r="M8091" s="309"/>
      <c r="AB8091" s="310"/>
    </row>
    <row r="8092" spans="13:28" s="308" customFormat="1" x14ac:dyDescent="0.2">
      <c r="M8092" s="309"/>
      <c r="AB8092" s="310"/>
    </row>
    <row r="8093" spans="13:28" s="308" customFormat="1" x14ac:dyDescent="0.2">
      <c r="M8093" s="309"/>
      <c r="AB8093" s="310"/>
    </row>
    <row r="8094" spans="13:28" s="308" customFormat="1" x14ac:dyDescent="0.2">
      <c r="M8094" s="309"/>
      <c r="AB8094" s="310"/>
    </row>
    <row r="8095" spans="13:28" s="308" customFormat="1" x14ac:dyDescent="0.2">
      <c r="M8095" s="309"/>
      <c r="AB8095" s="310"/>
    </row>
    <row r="8096" spans="13:28" s="308" customFormat="1" x14ac:dyDescent="0.2">
      <c r="M8096" s="309"/>
      <c r="AB8096" s="310"/>
    </row>
    <row r="8097" spans="13:28" s="308" customFormat="1" x14ac:dyDescent="0.2">
      <c r="M8097" s="309"/>
      <c r="AB8097" s="310"/>
    </row>
    <row r="8098" spans="13:28" s="308" customFormat="1" x14ac:dyDescent="0.2">
      <c r="M8098" s="309"/>
      <c r="AB8098" s="310"/>
    </row>
    <row r="8099" spans="13:28" s="308" customFormat="1" x14ac:dyDescent="0.2">
      <c r="M8099" s="309"/>
      <c r="AB8099" s="310"/>
    </row>
    <row r="8100" spans="13:28" s="308" customFormat="1" x14ac:dyDescent="0.2">
      <c r="M8100" s="309"/>
      <c r="AB8100" s="310"/>
    </row>
    <row r="8101" spans="13:28" s="308" customFormat="1" x14ac:dyDescent="0.2">
      <c r="M8101" s="309"/>
      <c r="AB8101" s="310"/>
    </row>
    <row r="8102" spans="13:28" s="308" customFormat="1" x14ac:dyDescent="0.2">
      <c r="M8102" s="309"/>
      <c r="AB8102" s="310"/>
    </row>
    <row r="8103" spans="13:28" s="308" customFormat="1" x14ac:dyDescent="0.2">
      <c r="M8103" s="309"/>
      <c r="AB8103" s="310"/>
    </row>
    <row r="8104" spans="13:28" s="308" customFormat="1" x14ac:dyDescent="0.2">
      <c r="M8104" s="309"/>
      <c r="AB8104" s="310"/>
    </row>
    <row r="8105" spans="13:28" s="308" customFormat="1" x14ac:dyDescent="0.2">
      <c r="M8105" s="309"/>
      <c r="AB8105" s="310"/>
    </row>
    <row r="8106" spans="13:28" s="308" customFormat="1" x14ac:dyDescent="0.2">
      <c r="M8106" s="309"/>
      <c r="AB8106" s="310"/>
    </row>
    <row r="8107" spans="13:28" s="308" customFormat="1" x14ac:dyDescent="0.2">
      <c r="M8107" s="309"/>
      <c r="AB8107" s="310"/>
    </row>
    <row r="8108" spans="13:28" s="308" customFormat="1" x14ac:dyDescent="0.2">
      <c r="M8108" s="309"/>
      <c r="AB8108" s="310"/>
    </row>
    <row r="8109" spans="13:28" s="308" customFormat="1" x14ac:dyDescent="0.2">
      <c r="M8109" s="309"/>
      <c r="AB8109" s="310"/>
    </row>
    <row r="8110" spans="13:28" s="308" customFormat="1" x14ac:dyDescent="0.2">
      <c r="M8110" s="309"/>
      <c r="AB8110" s="310"/>
    </row>
    <row r="8111" spans="13:28" s="308" customFormat="1" x14ac:dyDescent="0.2">
      <c r="M8111" s="309"/>
      <c r="AB8111" s="310"/>
    </row>
    <row r="8112" spans="13:28" s="308" customFormat="1" x14ac:dyDescent="0.2">
      <c r="M8112" s="309"/>
      <c r="AB8112" s="310"/>
    </row>
    <row r="8113" spans="13:28" s="308" customFormat="1" x14ac:dyDescent="0.2">
      <c r="M8113" s="309"/>
      <c r="AB8113" s="310"/>
    </row>
    <row r="8114" spans="13:28" s="308" customFormat="1" x14ac:dyDescent="0.2">
      <c r="M8114" s="309"/>
      <c r="AB8114" s="310"/>
    </row>
    <row r="8115" spans="13:28" s="308" customFormat="1" x14ac:dyDescent="0.2">
      <c r="M8115" s="309"/>
      <c r="AB8115" s="310"/>
    </row>
    <row r="8116" spans="13:28" s="308" customFormat="1" x14ac:dyDescent="0.2">
      <c r="M8116" s="309"/>
      <c r="AB8116" s="310"/>
    </row>
    <row r="8117" spans="13:28" s="308" customFormat="1" x14ac:dyDescent="0.2">
      <c r="M8117" s="309"/>
      <c r="AB8117" s="310"/>
    </row>
    <row r="8118" spans="13:28" s="308" customFormat="1" x14ac:dyDescent="0.2">
      <c r="M8118" s="309"/>
      <c r="AB8118" s="310"/>
    </row>
    <row r="8119" spans="13:28" s="308" customFormat="1" x14ac:dyDescent="0.2">
      <c r="M8119" s="309"/>
      <c r="AB8119" s="310"/>
    </row>
    <row r="8120" spans="13:28" s="308" customFormat="1" x14ac:dyDescent="0.2">
      <c r="M8120" s="309"/>
      <c r="AB8120" s="310"/>
    </row>
    <row r="8121" spans="13:28" s="308" customFormat="1" x14ac:dyDescent="0.2">
      <c r="M8121" s="309"/>
      <c r="AB8121" s="310"/>
    </row>
    <row r="8122" spans="13:28" s="308" customFormat="1" x14ac:dyDescent="0.2">
      <c r="M8122" s="309"/>
      <c r="AB8122" s="310"/>
    </row>
    <row r="8123" spans="13:28" s="308" customFormat="1" x14ac:dyDescent="0.2">
      <c r="M8123" s="309"/>
      <c r="AB8123" s="310"/>
    </row>
    <row r="8124" spans="13:28" s="308" customFormat="1" x14ac:dyDescent="0.2">
      <c r="M8124" s="309"/>
      <c r="AB8124" s="310"/>
    </row>
    <row r="8125" spans="13:28" s="308" customFormat="1" x14ac:dyDescent="0.2">
      <c r="M8125" s="309"/>
      <c r="AB8125" s="310"/>
    </row>
    <row r="8126" spans="13:28" s="308" customFormat="1" x14ac:dyDescent="0.2">
      <c r="M8126" s="309"/>
      <c r="AB8126" s="310"/>
    </row>
    <row r="8127" spans="13:28" s="308" customFormat="1" x14ac:dyDescent="0.2">
      <c r="M8127" s="309"/>
      <c r="AB8127" s="310"/>
    </row>
    <row r="8128" spans="13:28" s="308" customFormat="1" x14ac:dyDescent="0.2">
      <c r="M8128" s="309"/>
      <c r="AB8128" s="310"/>
    </row>
    <row r="8129" spans="13:28" s="308" customFormat="1" x14ac:dyDescent="0.2">
      <c r="M8129" s="309"/>
      <c r="AB8129" s="310"/>
    </row>
    <row r="8130" spans="13:28" s="308" customFormat="1" x14ac:dyDescent="0.2">
      <c r="M8130" s="309"/>
      <c r="AB8130" s="310"/>
    </row>
    <row r="8131" spans="13:28" s="308" customFormat="1" x14ac:dyDescent="0.2">
      <c r="M8131" s="309"/>
      <c r="AB8131" s="310"/>
    </row>
    <row r="8132" spans="13:28" s="308" customFormat="1" x14ac:dyDescent="0.2">
      <c r="M8132" s="309"/>
      <c r="AB8132" s="310"/>
    </row>
    <row r="8133" spans="13:28" s="308" customFormat="1" x14ac:dyDescent="0.2">
      <c r="M8133" s="309"/>
      <c r="AB8133" s="310"/>
    </row>
    <row r="8134" spans="13:28" s="308" customFormat="1" x14ac:dyDescent="0.2">
      <c r="M8134" s="309"/>
      <c r="AB8134" s="310"/>
    </row>
    <row r="8135" spans="13:28" s="308" customFormat="1" x14ac:dyDescent="0.2">
      <c r="M8135" s="309"/>
      <c r="AB8135" s="310"/>
    </row>
    <row r="8136" spans="13:28" s="308" customFormat="1" x14ac:dyDescent="0.2">
      <c r="M8136" s="309"/>
      <c r="AB8136" s="310"/>
    </row>
    <row r="8137" spans="13:28" s="308" customFormat="1" x14ac:dyDescent="0.2">
      <c r="M8137" s="309"/>
      <c r="AB8137" s="310"/>
    </row>
    <row r="8138" spans="13:28" s="308" customFormat="1" x14ac:dyDescent="0.2">
      <c r="M8138" s="309"/>
      <c r="AB8138" s="310"/>
    </row>
    <row r="8139" spans="13:28" s="308" customFormat="1" x14ac:dyDescent="0.2">
      <c r="M8139" s="309"/>
      <c r="AB8139" s="310"/>
    </row>
    <row r="8140" spans="13:28" s="308" customFormat="1" x14ac:dyDescent="0.2">
      <c r="M8140" s="309"/>
      <c r="AB8140" s="310"/>
    </row>
    <row r="8141" spans="13:28" s="308" customFormat="1" x14ac:dyDescent="0.2">
      <c r="M8141" s="309"/>
      <c r="AB8141" s="310"/>
    </row>
    <row r="8142" spans="13:28" s="308" customFormat="1" x14ac:dyDescent="0.2">
      <c r="M8142" s="309"/>
      <c r="AB8142" s="310"/>
    </row>
    <row r="8143" spans="13:28" s="308" customFormat="1" x14ac:dyDescent="0.2">
      <c r="M8143" s="309"/>
      <c r="AB8143" s="310"/>
    </row>
    <row r="8144" spans="13:28" s="308" customFormat="1" x14ac:dyDescent="0.2">
      <c r="M8144" s="309"/>
      <c r="AB8144" s="310"/>
    </row>
    <row r="8145" spans="13:28" s="308" customFormat="1" x14ac:dyDescent="0.2">
      <c r="M8145" s="309"/>
      <c r="AB8145" s="310"/>
    </row>
    <row r="8146" spans="13:28" s="308" customFormat="1" x14ac:dyDescent="0.2">
      <c r="M8146" s="309"/>
      <c r="AB8146" s="310"/>
    </row>
    <row r="8147" spans="13:28" s="308" customFormat="1" x14ac:dyDescent="0.2">
      <c r="M8147" s="309"/>
      <c r="AB8147" s="310"/>
    </row>
    <row r="8148" spans="13:28" s="308" customFormat="1" x14ac:dyDescent="0.2">
      <c r="M8148" s="309"/>
      <c r="AB8148" s="310"/>
    </row>
    <row r="8149" spans="13:28" s="308" customFormat="1" x14ac:dyDescent="0.2">
      <c r="M8149" s="309"/>
      <c r="AB8149" s="310"/>
    </row>
    <row r="8150" spans="13:28" s="308" customFormat="1" x14ac:dyDescent="0.2">
      <c r="M8150" s="309"/>
      <c r="AB8150" s="310"/>
    </row>
    <row r="8151" spans="13:28" s="308" customFormat="1" x14ac:dyDescent="0.2">
      <c r="M8151" s="309"/>
      <c r="AB8151" s="310"/>
    </row>
    <row r="8152" spans="13:28" s="308" customFormat="1" x14ac:dyDescent="0.2">
      <c r="M8152" s="309"/>
      <c r="AB8152" s="310"/>
    </row>
    <row r="8153" spans="13:28" s="308" customFormat="1" x14ac:dyDescent="0.2">
      <c r="M8153" s="309"/>
      <c r="AB8153" s="310"/>
    </row>
    <row r="8154" spans="13:28" s="308" customFormat="1" x14ac:dyDescent="0.2">
      <c r="M8154" s="309"/>
      <c r="AB8154" s="310"/>
    </row>
    <row r="8155" spans="13:28" s="308" customFormat="1" x14ac:dyDescent="0.2">
      <c r="M8155" s="309"/>
      <c r="AB8155" s="310"/>
    </row>
    <row r="8156" spans="13:28" s="308" customFormat="1" x14ac:dyDescent="0.2">
      <c r="M8156" s="309"/>
      <c r="AB8156" s="310"/>
    </row>
    <row r="8157" spans="13:28" s="308" customFormat="1" x14ac:dyDescent="0.2">
      <c r="M8157" s="309"/>
      <c r="AB8157" s="310"/>
    </row>
    <row r="8158" spans="13:28" s="308" customFormat="1" x14ac:dyDescent="0.2">
      <c r="M8158" s="309"/>
      <c r="AB8158" s="310"/>
    </row>
    <row r="8159" spans="13:28" s="308" customFormat="1" x14ac:dyDescent="0.2">
      <c r="M8159" s="309"/>
      <c r="AB8159" s="310"/>
    </row>
    <row r="8160" spans="13:28" s="308" customFormat="1" x14ac:dyDescent="0.2">
      <c r="M8160" s="309"/>
      <c r="AB8160" s="310"/>
    </row>
    <row r="8161" spans="13:28" s="308" customFormat="1" x14ac:dyDescent="0.2">
      <c r="M8161" s="309"/>
      <c r="AB8161" s="310"/>
    </row>
    <row r="8162" spans="13:28" s="308" customFormat="1" x14ac:dyDescent="0.2">
      <c r="M8162" s="309"/>
      <c r="AB8162" s="310"/>
    </row>
    <row r="8163" spans="13:28" s="308" customFormat="1" x14ac:dyDescent="0.2">
      <c r="M8163" s="309"/>
      <c r="AB8163" s="310"/>
    </row>
    <row r="8164" spans="13:28" s="308" customFormat="1" x14ac:dyDescent="0.2">
      <c r="M8164" s="309"/>
      <c r="AB8164" s="310"/>
    </row>
    <row r="8165" spans="13:28" s="308" customFormat="1" x14ac:dyDescent="0.2">
      <c r="M8165" s="309"/>
      <c r="AB8165" s="310"/>
    </row>
    <row r="8166" spans="13:28" s="308" customFormat="1" x14ac:dyDescent="0.2">
      <c r="M8166" s="309"/>
      <c r="AB8166" s="310"/>
    </row>
    <row r="8167" spans="13:28" s="308" customFormat="1" x14ac:dyDescent="0.2">
      <c r="M8167" s="309"/>
      <c r="AB8167" s="310"/>
    </row>
    <row r="8168" spans="13:28" s="308" customFormat="1" x14ac:dyDescent="0.2">
      <c r="M8168" s="309"/>
      <c r="AB8168" s="310"/>
    </row>
    <row r="8169" spans="13:28" s="308" customFormat="1" x14ac:dyDescent="0.2">
      <c r="M8169" s="309"/>
      <c r="AB8169" s="310"/>
    </row>
    <row r="8170" spans="13:28" s="308" customFormat="1" x14ac:dyDescent="0.2">
      <c r="M8170" s="309"/>
      <c r="AB8170" s="310"/>
    </row>
    <row r="8171" spans="13:28" s="308" customFormat="1" x14ac:dyDescent="0.2">
      <c r="M8171" s="309"/>
      <c r="AB8171" s="310"/>
    </row>
    <row r="8172" spans="13:28" s="308" customFormat="1" x14ac:dyDescent="0.2">
      <c r="M8172" s="309"/>
      <c r="AB8172" s="310"/>
    </row>
    <row r="8173" spans="13:28" s="308" customFormat="1" x14ac:dyDescent="0.2">
      <c r="M8173" s="309"/>
      <c r="AB8173" s="310"/>
    </row>
    <row r="8174" spans="13:28" s="308" customFormat="1" x14ac:dyDescent="0.2">
      <c r="M8174" s="309"/>
      <c r="AB8174" s="310"/>
    </row>
    <row r="8175" spans="13:28" s="308" customFormat="1" x14ac:dyDescent="0.2">
      <c r="M8175" s="309"/>
      <c r="AB8175" s="310"/>
    </row>
    <row r="8176" spans="13:28" s="308" customFormat="1" x14ac:dyDescent="0.2">
      <c r="M8176" s="309"/>
      <c r="AB8176" s="310"/>
    </row>
    <row r="8177" spans="13:28" s="308" customFormat="1" x14ac:dyDescent="0.2">
      <c r="M8177" s="309"/>
      <c r="AB8177" s="310"/>
    </row>
    <row r="8178" spans="13:28" s="308" customFormat="1" x14ac:dyDescent="0.2">
      <c r="M8178" s="309"/>
      <c r="AB8178" s="310"/>
    </row>
    <row r="8179" spans="13:28" s="308" customFormat="1" x14ac:dyDescent="0.2">
      <c r="M8179" s="309"/>
      <c r="AB8179" s="310"/>
    </row>
    <row r="8180" spans="13:28" s="308" customFormat="1" x14ac:dyDescent="0.2">
      <c r="M8180" s="309"/>
      <c r="AB8180" s="310"/>
    </row>
    <row r="8181" spans="13:28" s="308" customFormat="1" x14ac:dyDescent="0.2">
      <c r="M8181" s="309"/>
      <c r="AB8181" s="310"/>
    </row>
    <row r="8182" spans="13:28" s="308" customFormat="1" x14ac:dyDescent="0.2">
      <c r="M8182" s="309"/>
      <c r="AB8182" s="310"/>
    </row>
    <row r="8183" spans="13:28" s="308" customFormat="1" x14ac:dyDescent="0.2">
      <c r="M8183" s="309"/>
      <c r="AB8183" s="310"/>
    </row>
    <row r="8184" spans="13:28" s="308" customFormat="1" x14ac:dyDescent="0.2">
      <c r="M8184" s="309"/>
      <c r="AB8184" s="310"/>
    </row>
    <row r="8185" spans="13:28" s="308" customFormat="1" x14ac:dyDescent="0.2">
      <c r="M8185" s="309"/>
      <c r="AB8185" s="310"/>
    </row>
    <row r="8186" spans="13:28" s="308" customFormat="1" x14ac:dyDescent="0.2">
      <c r="M8186" s="309"/>
      <c r="AB8186" s="310"/>
    </row>
    <row r="8187" spans="13:28" s="308" customFormat="1" x14ac:dyDescent="0.2">
      <c r="M8187" s="309"/>
      <c r="AB8187" s="310"/>
    </row>
    <row r="8188" spans="13:28" s="308" customFormat="1" x14ac:dyDescent="0.2">
      <c r="M8188" s="309"/>
      <c r="AB8188" s="310"/>
    </row>
    <row r="8189" spans="13:28" s="308" customFormat="1" x14ac:dyDescent="0.2">
      <c r="M8189" s="309"/>
      <c r="AB8189" s="310"/>
    </row>
    <row r="8190" spans="13:28" s="308" customFormat="1" x14ac:dyDescent="0.2">
      <c r="M8190" s="309"/>
      <c r="AB8190" s="310"/>
    </row>
    <row r="8191" spans="13:28" s="308" customFormat="1" x14ac:dyDescent="0.2">
      <c r="M8191" s="309"/>
      <c r="AB8191" s="310"/>
    </row>
    <row r="8192" spans="13:28" s="308" customFormat="1" x14ac:dyDescent="0.2">
      <c r="M8192" s="309"/>
      <c r="AB8192" s="310"/>
    </row>
    <row r="8193" spans="13:28" s="308" customFormat="1" x14ac:dyDescent="0.2">
      <c r="M8193" s="309"/>
      <c r="AB8193" s="310"/>
    </row>
    <row r="8194" spans="13:28" s="308" customFormat="1" x14ac:dyDescent="0.2">
      <c r="M8194" s="309"/>
      <c r="AB8194" s="310"/>
    </row>
    <row r="8195" spans="13:28" s="308" customFormat="1" x14ac:dyDescent="0.2">
      <c r="M8195" s="309"/>
      <c r="AB8195" s="310"/>
    </row>
    <row r="8196" spans="13:28" s="308" customFormat="1" x14ac:dyDescent="0.2">
      <c r="M8196" s="309"/>
      <c r="AB8196" s="310"/>
    </row>
    <row r="8197" spans="13:28" s="308" customFormat="1" x14ac:dyDescent="0.2">
      <c r="M8197" s="309"/>
      <c r="AB8197" s="310"/>
    </row>
    <row r="8198" spans="13:28" s="308" customFormat="1" x14ac:dyDescent="0.2">
      <c r="M8198" s="309"/>
      <c r="AB8198" s="310"/>
    </row>
    <row r="8199" spans="13:28" s="308" customFormat="1" x14ac:dyDescent="0.2">
      <c r="M8199" s="309"/>
      <c r="AB8199" s="310"/>
    </row>
    <row r="8200" spans="13:28" s="308" customFormat="1" x14ac:dyDescent="0.2">
      <c r="M8200" s="309"/>
      <c r="AB8200" s="310"/>
    </row>
    <row r="8201" spans="13:28" s="308" customFormat="1" x14ac:dyDescent="0.2">
      <c r="M8201" s="309"/>
      <c r="AB8201" s="310"/>
    </row>
    <row r="8202" spans="13:28" s="308" customFormat="1" x14ac:dyDescent="0.2">
      <c r="M8202" s="309"/>
      <c r="AB8202" s="310"/>
    </row>
    <row r="8203" spans="13:28" s="308" customFormat="1" x14ac:dyDescent="0.2">
      <c r="M8203" s="309"/>
      <c r="AB8203" s="310"/>
    </row>
    <row r="8204" spans="13:28" s="308" customFormat="1" x14ac:dyDescent="0.2">
      <c r="M8204" s="309"/>
      <c r="AB8204" s="310"/>
    </row>
    <row r="8205" spans="13:28" s="308" customFormat="1" x14ac:dyDescent="0.2">
      <c r="M8205" s="309"/>
      <c r="AB8205" s="310"/>
    </row>
    <row r="8206" spans="13:28" s="308" customFormat="1" x14ac:dyDescent="0.2">
      <c r="M8206" s="309"/>
      <c r="AB8206" s="310"/>
    </row>
    <row r="8207" spans="13:28" s="308" customFormat="1" x14ac:dyDescent="0.2">
      <c r="M8207" s="309"/>
      <c r="AB8207" s="310"/>
    </row>
    <row r="8208" spans="13:28" s="308" customFormat="1" x14ac:dyDescent="0.2">
      <c r="M8208" s="309"/>
      <c r="AB8208" s="310"/>
    </row>
    <row r="8209" spans="13:28" s="308" customFormat="1" x14ac:dyDescent="0.2">
      <c r="M8209" s="309"/>
      <c r="AB8209" s="310"/>
    </row>
    <row r="8210" spans="13:28" s="308" customFormat="1" x14ac:dyDescent="0.2">
      <c r="M8210" s="309"/>
      <c r="AB8210" s="310"/>
    </row>
    <row r="8211" spans="13:28" s="308" customFormat="1" x14ac:dyDescent="0.2">
      <c r="M8211" s="309"/>
      <c r="AB8211" s="310"/>
    </row>
    <row r="8212" spans="13:28" s="308" customFormat="1" x14ac:dyDescent="0.2">
      <c r="M8212" s="309"/>
      <c r="AB8212" s="310"/>
    </row>
    <row r="8213" spans="13:28" s="308" customFormat="1" x14ac:dyDescent="0.2">
      <c r="M8213" s="309"/>
      <c r="AB8213" s="310"/>
    </row>
    <row r="8214" spans="13:28" s="308" customFormat="1" x14ac:dyDescent="0.2">
      <c r="M8214" s="309"/>
      <c r="AB8214" s="310"/>
    </row>
    <row r="8215" spans="13:28" s="308" customFormat="1" x14ac:dyDescent="0.2">
      <c r="M8215" s="309"/>
      <c r="AB8215" s="310"/>
    </row>
    <row r="8216" spans="13:28" s="308" customFormat="1" x14ac:dyDescent="0.2">
      <c r="M8216" s="309"/>
      <c r="AB8216" s="310"/>
    </row>
    <row r="8217" spans="13:28" s="308" customFormat="1" x14ac:dyDescent="0.2">
      <c r="M8217" s="309"/>
      <c r="AB8217" s="310"/>
    </row>
    <row r="8218" spans="13:28" s="308" customFormat="1" x14ac:dyDescent="0.2">
      <c r="M8218" s="309"/>
      <c r="AB8218" s="310"/>
    </row>
    <row r="8219" spans="13:28" s="308" customFormat="1" x14ac:dyDescent="0.2">
      <c r="M8219" s="309"/>
      <c r="AB8219" s="310"/>
    </row>
    <row r="8220" spans="13:28" s="308" customFormat="1" x14ac:dyDescent="0.2">
      <c r="M8220" s="309"/>
      <c r="AB8220" s="310"/>
    </row>
    <row r="8221" spans="13:28" s="308" customFormat="1" x14ac:dyDescent="0.2">
      <c r="M8221" s="309"/>
      <c r="AB8221" s="310"/>
    </row>
    <row r="8222" spans="13:28" s="308" customFormat="1" x14ac:dyDescent="0.2">
      <c r="M8222" s="309"/>
      <c r="AB8222" s="310"/>
    </row>
    <row r="8223" spans="13:28" s="308" customFormat="1" x14ac:dyDescent="0.2">
      <c r="M8223" s="309"/>
      <c r="AB8223" s="310"/>
    </row>
    <row r="8224" spans="13:28" s="308" customFormat="1" x14ac:dyDescent="0.2">
      <c r="M8224" s="309"/>
      <c r="AB8224" s="310"/>
    </row>
    <row r="8225" spans="13:28" s="308" customFormat="1" x14ac:dyDescent="0.2">
      <c r="M8225" s="309"/>
      <c r="AB8225" s="310"/>
    </row>
    <row r="8226" spans="13:28" s="308" customFormat="1" x14ac:dyDescent="0.2">
      <c r="M8226" s="309"/>
      <c r="AB8226" s="310"/>
    </row>
    <row r="8227" spans="13:28" s="308" customFormat="1" x14ac:dyDescent="0.2">
      <c r="M8227" s="309"/>
      <c r="AB8227" s="310"/>
    </row>
    <row r="8228" spans="13:28" s="308" customFormat="1" x14ac:dyDescent="0.2">
      <c r="M8228" s="309"/>
      <c r="AB8228" s="310"/>
    </row>
    <row r="8229" spans="13:28" s="308" customFormat="1" x14ac:dyDescent="0.2">
      <c r="M8229" s="309"/>
      <c r="AB8229" s="310"/>
    </row>
    <row r="8230" spans="13:28" s="308" customFormat="1" x14ac:dyDescent="0.2">
      <c r="M8230" s="309"/>
      <c r="AB8230" s="310"/>
    </row>
    <row r="8231" spans="13:28" s="308" customFormat="1" x14ac:dyDescent="0.2">
      <c r="M8231" s="309"/>
      <c r="AB8231" s="310"/>
    </row>
    <row r="8232" spans="13:28" s="308" customFormat="1" x14ac:dyDescent="0.2">
      <c r="M8232" s="309"/>
      <c r="AB8232" s="310"/>
    </row>
    <row r="8233" spans="13:28" s="308" customFormat="1" x14ac:dyDescent="0.2">
      <c r="M8233" s="309"/>
      <c r="AB8233" s="310"/>
    </row>
    <row r="8234" spans="13:28" s="308" customFormat="1" x14ac:dyDescent="0.2">
      <c r="M8234" s="309"/>
      <c r="AB8234" s="310"/>
    </row>
    <row r="8235" spans="13:28" s="308" customFormat="1" x14ac:dyDescent="0.2">
      <c r="M8235" s="309"/>
      <c r="AB8235" s="310"/>
    </row>
    <row r="8236" spans="13:28" s="308" customFormat="1" x14ac:dyDescent="0.2">
      <c r="M8236" s="309"/>
      <c r="AB8236" s="310"/>
    </row>
    <row r="8237" spans="13:28" s="308" customFormat="1" x14ac:dyDescent="0.2">
      <c r="M8237" s="309"/>
      <c r="AB8237" s="310"/>
    </row>
    <row r="8238" spans="13:28" s="308" customFormat="1" x14ac:dyDescent="0.2">
      <c r="M8238" s="309"/>
      <c r="AB8238" s="310"/>
    </row>
    <row r="8239" spans="13:28" s="308" customFormat="1" x14ac:dyDescent="0.2">
      <c r="M8239" s="309"/>
      <c r="AB8239" s="310"/>
    </row>
    <row r="8240" spans="13:28" s="308" customFormat="1" x14ac:dyDescent="0.2">
      <c r="M8240" s="309"/>
      <c r="AB8240" s="310"/>
    </row>
    <row r="8241" spans="13:28" s="308" customFormat="1" x14ac:dyDescent="0.2">
      <c r="M8241" s="309"/>
      <c r="AB8241" s="310"/>
    </row>
    <row r="8242" spans="13:28" s="308" customFormat="1" x14ac:dyDescent="0.2">
      <c r="M8242" s="309"/>
      <c r="AB8242" s="310"/>
    </row>
    <row r="8243" spans="13:28" s="308" customFormat="1" x14ac:dyDescent="0.2">
      <c r="M8243" s="309"/>
      <c r="AB8243" s="310"/>
    </row>
    <row r="8244" spans="13:28" s="308" customFormat="1" x14ac:dyDescent="0.2">
      <c r="M8244" s="309"/>
      <c r="AB8244" s="310"/>
    </row>
    <row r="8245" spans="13:28" s="308" customFormat="1" x14ac:dyDescent="0.2">
      <c r="M8245" s="309"/>
      <c r="AB8245" s="310"/>
    </row>
    <row r="8246" spans="13:28" s="308" customFormat="1" x14ac:dyDescent="0.2">
      <c r="M8246" s="309"/>
      <c r="AB8246" s="310"/>
    </row>
    <row r="8247" spans="13:28" s="308" customFormat="1" x14ac:dyDescent="0.2">
      <c r="M8247" s="309"/>
      <c r="AB8247" s="310"/>
    </row>
    <row r="8248" spans="13:28" s="308" customFormat="1" x14ac:dyDescent="0.2">
      <c r="M8248" s="309"/>
      <c r="AB8248" s="310"/>
    </row>
    <row r="8249" spans="13:28" s="308" customFormat="1" x14ac:dyDescent="0.2">
      <c r="M8249" s="309"/>
      <c r="AB8249" s="310"/>
    </row>
    <row r="8250" spans="13:28" s="308" customFormat="1" x14ac:dyDescent="0.2">
      <c r="M8250" s="309"/>
      <c r="AB8250" s="310"/>
    </row>
    <row r="8251" spans="13:28" s="308" customFormat="1" x14ac:dyDescent="0.2">
      <c r="M8251" s="309"/>
      <c r="AB8251" s="310"/>
    </row>
    <row r="8252" spans="13:28" s="308" customFormat="1" x14ac:dyDescent="0.2">
      <c r="M8252" s="309"/>
      <c r="AB8252" s="310"/>
    </row>
    <row r="8253" spans="13:28" s="308" customFormat="1" x14ac:dyDescent="0.2">
      <c r="M8253" s="309"/>
      <c r="AB8253" s="310"/>
    </row>
    <row r="8254" spans="13:28" s="308" customFormat="1" x14ac:dyDescent="0.2">
      <c r="M8254" s="309"/>
      <c r="AB8254" s="310"/>
    </row>
    <row r="8255" spans="13:28" s="308" customFormat="1" x14ac:dyDescent="0.2">
      <c r="M8255" s="309"/>
      <c r="AB8255" s="310"/>
    </row>
    <row r="8256" spans="13:28" s="308" customFormat="1" x14ac:dyDescent="0.2">
      <c r="M8256" s="309"/>
      <c r="AB8256" s="310"/>
    </row>
    <row r="8257" spans="13:28" s="308" customFormat="1" x14ac:dyDescent="0.2">
      <c r="M8257" s="309"/>
      <c r="AB8257" s="310"/>
    </row>
    <row r="8258" spans="13:28" s="308" customFormat="1" x14ac:dyDescent="0.2">
      <c r="M8258" s="309"/>
      <c r="AB8258" s="310"/>
    </row>
    <row r="8259" spans="13:28" s="308" customFormat="1" x14ac:dyDescent="0.2">
      <c r="M8259" s="309"/>
      <c r="AB8259" s="310"/>
    </row>
    <row r="8260" spans="13:28" s="308" customFormat="1" x14ac:dyDescent="0.2">
      <c r="M8260" s="309"/>
      <c r="AB8260" s="310"/>
    </row>
    <row r="8261" spans="13:28" s="308" customFormat="1" x14ac:dyDescent="0.2">
      <c r="M8261" s="309"/>
      <c r="AB8261" s="310"/>
    </row>
    <row r="8262" spans="13:28" s="308" customFormat="1" x14ac:dyDescent="0.2">
      <c r="M8262" s="309"/>
      <c r="AB8262" s="310"/>
    </row>
    <row r="8263" spans="13:28" s="308" customFormat="1" x14ac:dyDescent="0.2">
      <c r="M8263" s="309"/>
      <c r="AB8263" s="310"/>
    </row>
    <row r="8264" spans="13:28" s="308" customFormat="1" x14ac:dyDescent="0.2">
      <c r="M8264" s="309"/>
      <c r="AB8264" s="310"/>
    </row>
    <row r="8265" spans="13:28" s="308" customFormat="1" x14ac:dyDescent="0.2">
      <c r="M8265" s="309"/>
      <c r="AB8265" s="310"/>
    </row>
    <row r="8266" spans="13:28" s="308" customFormat="1" x14ac:dyDescent="0.2">
      <c r="M8266" s="309"/>
      <c r="AB8266" s="310"/>
    </row>
    <row r="8267" spans="13:28" s="308" customFormat="1" x14ac:dyDescent="0.2">
      <c r="M8267" s="309"/>
      <c r="AB8267" s="310"/>
    </row>
    <row r="8268" spans="13:28" s="308" customFormat="1" x14ac:dyDescent="0.2">
      <c r="M8268" s="309"/>
      <c r="AB8268" s="310"/>
    </row>
    <row r="8269" spans="13:28" s="308" customFormat="1" x14ac:dyDescent="0.2">
      <c r="M8269" s="309"/>
      <c r="AB8269" s="310"/>
    </row>
    <row r="8270" spans="13:28" s="308" customFormat="1" x14ac:dyDescent="0.2">
      <c r="M8270" s="309"/>
      <c r="AB8270" s="310"/>
    </row>
    <row r="8271" spans="13:28" s="308" customFormat="1" x14ac:dyDescent="0.2">
      <c r="M8271" s="309"/>
      <c r="AB8271" s="310"/>
    </row>
    <row r="8272" spans="13:28" s="308" customFormat="1" x14ac:dyDescent="0.2">
      <c r="M8272" s="309"/>
      <c r="AB8272" s="310"/>
    </row>
    <row r="8273" spans="13:28" s="308" customFormat="1" x14ac:dyDescent="0.2">
      <c r="M8273" s="309"/>
      <c r="AB8273" s="310"/>
    </row>
    <row r="8274" spans="13:28" s="308" customFormat="1" x14ac:dyDescent="0.2">
      <c r="M8274" s="309"/>
      <c r="AB8274" s="310"/>
    </row>
    <row r="8275" spans="13:28" s="308" customFormat="1" x14ac:dyDescent="0.2">
      <c r="M8275" s="309"/>
      <c r="AB8275" s="310"/>
    </row>
    <row r="8276" spans="13:28" s="308" customFormat="1" x14ac:dyDescent="0.2">
      <c r="M8276" s="309"/>
      <c r="AB8276" s="310"/>
    </row>
    <row r="8277" spans="13:28" s="308" customFormat="1" x14ac:dyDescent="0.2">
      <c r="M8277" s="309"/>
      <c r="AB8277" s="310"/>
    </row>
    <row r="8278" spans="13:28" s="308" customFormat="1" x14ac:dyDescent="0.2">
      <c r="M8278" s="309"/>
      <c r="AB8278" s="310"/>
    </row>
    <row r="8279" spans="13:28" s="308" customFormat="1" x14ac:dyDescent="0.2">
      <c r="M8279" s="309"/>
      <c r="AB8279" s="310"/>
    </row>
    <row r="8280" spans="13:28" s="308" customFormat="1" x14ac:dyDescent="0.2">
      <c r="M8280" s="309"/>
      <c r="AB8280" s="310"/>
    </row>
    <row r="8281" spans="13:28" s="308" customFormat="1" x14ac:dyDescent="0.2">
      <c r="M8281" s="309"/>
      <c r="AB8281" s="310"/>
    </row>
    <row r="8282" spans="13:28" s="308" customFormat="1" x14ac:dyDescent="0.2">
      <c r="M8282" s="309"/>
      <c r="AB8282" s="310"/>
    </row>
    <row r="8283" spans="13:28" s="308" customFormat="1" x14ac:dyDescent="0.2">
      <c r="M8283" s="309"/>
      <c r="AB8283" s="310"/>
    </row>
    <row r="8284" spans="13:28" s="308" customFormat="1" x14ac:dyDescent="0.2">
      <c r="M8284" s="309"/>
      <c r="AB8284" s="310"/>
    </row>
    <row r="8285" spans="13:28" s="308" customFormat="1" x14ac:dyDescent="0.2">
      <c r="M8285" s="309"/>
      <c r="AB8285" s="310"/>
    </row>
    <row r="8286" spans="13:28" s="308" customFormat="1" x14ac:dyDescent="0.2">
      <c r="M8286" s="309"/>
      <c r="AB8286" s="310"/>
    </row>
    <row r="8287" spans="13:28" s="308" customFormat="1" x14ac:dyDescent="0.2">
      <c r="M8287" s="309"/>
      <c r="AB8287" s="310"/>
    </row>
    <row r="8288" spans="13:28" s="308" customFormat="1" x14ac:dyDescent="0.2">
      <c r="M8288" s="309"/>
      <c r="AB8288" s="310"/>
    </row>
    <row r="8289" spans="13:28" s="308" customFormat="1" x14ac:dyDescent="0.2">
      <c r="M8289" s="309"/>
      <c r="AB8289" s="310"/>
    </row>
    <row r="8290" spans="13:28" s="308" customFormat="1" x14ac:dyDescent="0.2">
      <c r="M8290" s="309"/>
      <c r="AB8290" s="310"/>
    </row>
    <row r="8291" spans="13:28" s="308" customFormat="1" x14ac:dyDescent="0.2">
      <c r="M8291" s="309"/>
      <c r="AB8291" s="310"/>
    </row>
    <row r="8292" spans="13:28" s="308" customFormat="1" x14ac:dyDescent="0.2">
      <c r="M8292" s="309"/>
      <c r="AB8292" s="310"/>
    </row>
    <row r="8293" spans="13:28" s="308" customFormat="1" x14ac:dyDescent="0.2">
      <c r="M8293" s="309"/>
      <c r="AB8293" s="310"/>
    </row>
    <row r="8294" spans="13:28" s="308" customFormat="1" x14ac:dyDescent="0.2">
      <c r="M8294" s="309"/>
      <c r="AB8294" s="310"/>
    </row>
    <row r="8295" spans="13:28" s="308" customFormat="1" x14ac:dyDescent="0.2">
      <c r="M8295" s="309"/>
      <c r="AB8295" s="310"/>
    </row>
    <row r="8296" spans="13:28" s="308" customFormat="1" x14ac:dyDescent="0.2">
      <c r="M8296" s="309"/>
      <c r="AB8296" s="310"/>
    </row>
    <row r="8297" spans="13:28" s="308" customFormat="1" x14ac:dyDescent="0.2">
      <c r="M8297" s="309"/>
      <c r="AB8297" s="310"/>
    </row>
    <row r="8298" spans="13:28" s="308" customFormat="1" x14ac:dyDescent="0.2">
      <c r="M8298" s="309"/>
      <c r="AB8298" s="310"/>
    </row>
    <row r="8299" spans="13:28" s="308" customFormat="1" x14ac:dyDescent="0.2">
      <c r="M8299" s="309"/>
      <c r="AB8299" s="310"/>
    </row>
    <row r="8300" spans="13:28" s="308" customFormat="1" x14ac:dyDescent="0.2">
      <c r="M8300" s="309"/>
      <c r="AB8300" s="310"/>
    </row>
    <row r="8301" spans="13:28" s="308" customFormat="1" x14ac:dyDescent="0.2">
      <c r="M8301" s="309"/>
      <c r="AB8301" s="310"/>
    </row>
    <row r="8302" spans="13:28" s="308" customFormat="1" x14ac:dyDescent="0.2">
      <c r="M8302" s="309"/>
      <c r="AB8302" s="310"/>
    </row>
    <row r="8303" spans="13:28" s="308" customFormat="1" x14ac:dyDescent="0.2">
      <c r="M8303" s="309"/>
      <c r="AB8303" s="310"/>
    </row>
    <row r="8304" spans="13:28" s="308" customFormat="1" x14ac:dyDescent="0.2">
      <c r="M8304" s="309"/>
      <c r="AB8304" s="310"/>
    </row>
    <row r="8305" spans="13:28" s="308" customFormat="1" x14ac:dyDescent="0.2">
      <c r="M8305" s="309"/>
      <c r="AB8305" s="310"/>
    </row>
    <row r="8306" spans="13:28" s="308" customFormat="1" x14ac:dyDescent="0.2">
      <c r="M8306" s="309"/>
      <c r="AB8306" s="310"/>
    </row>
    <row r="8307" spans="13:28" s="308" customFormat="1" x14ac:dyDescent="0.2">
      <c r="M8307" s="309"/>
      <c r="AB8307" s="310"/>
    </row>
    <row r="8308" spans="13:28" s="308" customFormat="1" x14ac:dyDescent="0.2">
      <c r="M8308" s="309"/>
      <c r="AB8308" s="310"/>
    </row>
    <row r="8309" spans="13:28" s="308" customFormat="1" x14ac:dyDescent="0.2">
      <c r="M8309" s="309"/>
      <c r="AB8309" s="310"/>
    </row>
    <row r="8310" spans="13:28" s="308" customFormat="1" x14ac:dyDescent="0.2">
      <c r="M8310" s="309"/>
      <c r="AB8310" s="310"/>
    </row>
    <row r="8311" spans="13:28" s="308" customFormat="1" x14ac:dyDescent="0.2">
      <c r="M8311" s="309"/>
      <c r="AB8311" s="310"/>
    </row>
    <row r="8312" spans="13:28" s="308" customFormat="1" x14ac:dyDescent="0.2">
      <c r="M8312" s="309"/>
      <c r="AB8312" s="310"/>
    </row>
    <row r="8313" spans="13:28" s="308" customFormat="1" x14ac:dyDescent="0.2">
      <c r="M8313" s="309"/>
      <c r="AB8313" s="310"/>
    </row>
    <row r="8314" spans="13:28" s="308" customFormat="1" x14ac:dyDescent="0.2">
      <c r="M8314" s="309"/>
      <c r="AB8314" s="310"/>
    </row>
    <row r="8315" spans="13:28" s="308" customFormat="1" x14ac:dyDescent="0.2">
      <c r="M8315" s="309"/>
      <c r="AB8315" s="310"/>
    </row>
    <row r="8316" spans="13:28" s="308" customFormat="1" x14ac:dyDescent="0.2">
      <c r="M8316" s="309"/>
      <c r="AB8316" s="310"/>
    </row>
    <row r="8317" spans="13:28" s="308" customFormat="1" x14ac:dyDescent="0.2">
      <c r="M8317" s="309"/>
      <c r="AB8317" s="310"/>
    </row>
    <row r="8318" spans="13:28" s="308" customFormat="1" x14ac:dyDescent="0.2">
      <c r="M8318" s="309"/>
      <c r="AB8318" s="310"/>
    </row>
    <row r="8319" spans="13:28" s="308" customFormat="1" x14ac:dyDescent="0.2">
      <c r="M8319" s="309"/>
      <c r="AB8319" s="310"/>
    </row>
    <row r="8320" spans="13:28" s="308" customFormat="1" x14ac:dyDescent="0.2">
      <c r="M8320" s="309"/>
      <c r="AB8320" s="310"/>
    </row>
    <row r="8321" spans="13:28" s="308" customFormat="1" x14ac:dyDescent="0.2">
      <c r="M8321" s="309"/>
      <c r="AB8321" s="310"/>
    </row>
    <row r="8322" spans="13:28" s="308" customFormat="1" x14ac:dyDescent="0.2">
      <c r="M8322" s="309"/>
      <c r="AB8322" s="310"/>
    </row>
    <row r="8323" spans="13:28" s="308" customFormat="1" x14ac:dyDescent="0.2">
      <c r="M8323" s="309"/>
      <c r="AB8323" s="310"/>
    </row>
    <row r="8324" spans="13:28" s="308" customFormat="1" x14ac:dyDescent="0.2">
      <c r="M8324" s="309"/>
      <c r="AB8324" s="310"/>
    </row>
    <row r="8325" spans="13:28" s="308" customFormat="1" x14ac:dyDescent="0.2">
      <c r="M8325" s="309"/>
      <c r="AB8325" s="310"/>
    </row>
    <row r="8326" spans="13:28" s="308" customFormat="1" x14ac:dyDescent="0.2">
      <c r="M8326" s="309"/>
      <c r="AB8326" s="310"/>
    </row>
    <row r="8327" spans="13:28" s="308" customFormat="1" x14ac:dyDescent="0.2">
      <c r="M8327" s="309"/>
      <c r="AB8327" s="310"/>
    </row>
    <row r="8328" spans="13:28" s="308" customFormat="1" x14ac:dyDescent="0.2">
      <c r="M8328" s="309"/>
      <c r="AB8328" s="310"/>
    </row>
    <row r="8329" spans="13:28" s="308" customFormat="1" x14ac:dyDescent="0.2">
      <c r="M8329" s="309"/>
      <c r="AB8329" s="310"/>
    </row>
    <row r="8330" spans="13:28" s="308" customFormat="1" x14ac:dyDescent="0.2">
      <c r="M8330" s="309"/>
      <c r="AB8330" s="310"/>
    </row>
    <row r="8331" spans="13:28" s="308" customFormat="1" x14ac:dyDescent="0.2">
      <c r="M8331" s="309"/>
      <c r="AB8331" s="310"/>
    </row>
    <row r="8332" spans="13:28" s="308" customFormat="1" x14ac:dyDescent="0.2">
      <c r="M8332" s="309"/>
      <c r="AB8332" s="310"/>
    </row>
    <row r="8333" spans="13:28" s="308" customFormat="1" x14ac:dyDescent="0.2">
      <c r="M8333" s="309"/>
      <c r="AB8333" s="310"/>
    </row>
    <row r="8334" spans="13:28" s="308" customFormat="1" x14ac:dyDescent="0.2">
      <c r="M8334" s="309"/>
      <c r="AB8334" s="310"/>
    </row>
    <row r="8335" spans="13:28" s="308" customFormat="1" x14ac:dyDescent="0.2">
      <c r="M8335" s="309"/>
      <c r="AB8335" s="310"/>
    </row>
    <row r="8336" spans="13:28" s="308" customFormat="1" x14ac:dyDescent="0.2">
      <c r="M8336" s="309"/>
      <c r="AB8336" s="310"/>
    </row>
    <row r="8337" spans="13:28" s="308" customFormat="1" x14ac:dyDescent="0.2">
      <c r="M8337" s="309"/>
      <c r="AB8337" s="310"/>
    </row>
    <row r="8338" spans="13:28" s="308" customFormat="1" x14ac:dyDescent="0.2">
      <c r="M8338" s="309"/>
      <c r="AB8338" s="310"/>
    </row>
    <row r="8339" spans="13:28" s="308" customFormat="1" x14ac:dyDescent="0.2">
      <c r="M8339" s="309"/>
      <c r="AB8339" s="310"/>
    </row>
    <row r="8340" spans="13:28" s="308" customFormat="1" x14ac:dyDescent="0.2">
      <c r="M8340" s="309"/>
      <c r="AB8340" s="310"/>
    </row>
    <row r="8341" spans="13:28" s="308" customFormat="1" x14ac:dyDescent="0.2">
      <c r="M8341" s="309"/>
      <c r="AB8341" s="310"/>
    </row>
    <row r="8342" spans="13:28" s="308" customFormat="1" x14ac:dyDescent="0.2">
      <c r="M8342" s="309"/>
      <c r="AB8342" s="310"/>
    </row>
    <row r="8343" spans="13:28" s="308" customFormat="1" x14ac:dyDescent="0.2">
      <c r="M8343" s="309"/>
      <c r="AB8343" s="310"/>
    </row>
    <row r="8344" spans="13:28" s="308" customFormat="1" x14ac:dyDescent="0.2">
      <c r="M8344" s="309"/>
      <c r="AB8344" s="310"/>
    </row>
    <row r="8345" spans="13:28" s="308" customFormat="1" x14ac:dyDescent="0.2">
      <c r="M8345" s="309"/>
      <c r="AB8345" s="310"/>
    </row>
    <row r="8346" spans="13:28" s="308" customFormat="1" x14ac:dyDescent="0.2">
      <c r="M8346" s="309"/>
      <c r="AB8346" s="310"/>
    </row>
    <row r="8347" spans="13:28" s="308" customFormat="1" x14ac:dyDescent="0.2">
      <c r="M8347" s="309"/>
      <c r="AB8347" s="310"/>
    </row>
    <row r="8348" spans="13:28" s="308" customFormat="1" x14ac:dyDescent="0.2">
      <c r="M8348" s="309"/>
      <c r="AB8348" s="310"/>
    </row>
    <row r="8349" spans="13:28" s="308" customFormat="1" x14ac:dyDescent="0.2">
      <c r="M8349" s="309"/>
      <c r="AB8349" s="310"/>
    </row>
    <row r="8350" spans="13:28" s="308" customFormat="1" x14ac:dyDescent="0.2">
      <c r="M8350" s="309"/>
      <c r="AB8350" s="310"/>
    </row>
    <row r="8351" spans="13:28" s="308" customFormat="1" x14ac:dyDescent="0.2">
      <c r="M8351" s="309"/>
      <c r="AB8351" s="310"/>
    </row>
    <row r="8352" spans="13:28" s="308" customFormat="1" x14ac:dyDescent="0.2">
      <c r="M8352" s="309"/>
      <c r="AB8352" s="310"/>
    </row>
    <row r="8353" spans="13:28" s="308" customFormat="1" x14ac:dyDescent="0.2">
      <c r="M8353" s="309"/>
      <c r="AB8353" s="310"/>
    </row>
    <row r="8354" spans="13:28" s="308" customFormat="1" x14ac:dyDescent="0.2">
      <c r="M8354" s="309"/>
      <c r="AB8354" s="310"/>
    </row>
    <row r="8355" spans="13:28" s="308" customFormat="1" x14ac:dyDescent="0.2">
      <c r="M8355" s="309"/>
      <c r="AB8355" s="310"/>
    </row>
    <row r="8356" spans="13:28" s="308" customFormat="1" x14ac:dyDescent="0.2">
      <c r="M8356" s="309"/>
      <c r="AB8356" s="310"/>
    </row>
    <row r="8357" spans="13:28" s="308" customFormat="1" x14ac:dyDescent="0.2">
      <c r="M8357" s="309"/>
      <c r="AB8357" s="310"/>
    </row>
    <row r="8358" spans="13:28" s="308" customFormat="1" x14ac:dyDescent="0.2">
      <c r="M8358" s="309"/>
      <c r="AB8358" s="310"/>
    </row>
    <row r="8359" spans="13:28" s="308" customFormat="1" x14ac:dyDescent="0.2">
      <c r="M8359" s="309"/>
      <c r="AB8359" s="310"/>
    </row>
    <row r="8360" spans="13:28" s="308" customFormat="1" x14ac:dyDescent="0.2">
      <c r="M8360" s="309"/>
      <c r="AB8360" s="310"/>
    </row>
    <row r="8361" spans="13:28" s="308" customFormat="1" x14ac:dyDescent="0.2">
      <c r="M8361" s="309"/>
      <c r="AB8361" s="310"/>
    </row>
    <row r="8362" spans="13:28" s="308" customFormat="1" x14ac:dyDescent="0.2">
      <c r="M8362" s="309"/>
      <c r="AB8362" s="310"/>
    </row>
    <row r="8363" spans="13:28" s="308" customFormat="1" x14ac:dyDescent="0.2">
      <c r="M8363" s="309"/>
      <c r="AB8363" s="310"/>
    </row>
    <row r="8364" spans="13:28" s="308" customFormat="1" x14ac:dyDescent="0.2">
      <c r="M8364" s="309"/>
      <c r="AB8364" s="310"/>
    </row>
    <row r="8365" spans="13:28" s="308" customFormat="1" x14ac:dyDescent="0.2">
      <c r="M8365" s="309"/>
      <c r="AB8365" s="310"/>
    </row>
    <row r="8366" spans="13:28" s="308" customFormat="1" x14ac:dyDescent="0.2">
      <c r="M8366" s="309"/>
      <c r="AB8366" s="310"/>
    </row>
    <row r="8367" spans="13:28" s="308" customFormat="1" x14ac:dyDescent="0.2">
      <c r="M8367" s="309"/>
      <c r="AB8367" s="310"/>
    </row>
    <row r="8368" spans="13:28" s="308" customFormat="1" x14ac:dyDescent="0.2">
      <c r="M8368" s="309"/>
      <c r="AB8368" s="310"/>
    </row>
    <row r="8369" spans="13:28" s="308" customFormat="1" x14ac:dyDescent="0.2">
      <c r="M8369" s="309"/>
      <c r="AB8369" s="310"/>
    </row>
    <row r="8370" spans="13:28" s="308" customFormat="1" x14ac:dyDescent="0.2">
      <c r="M8370" s="309"/>
      <c r="AB8370" s="310"/>
    </row>
    <row r="8371" spans="13:28" s="308" customFormat="1" x14ac:dyDescent="0.2">
      <c r="M8371" s="309"/>
      <c r="AB8371" s="310"/>
    </row>
    <row r="8372" spans="13:28" s="308" customFormat="1" x14ac:dyDescent="0.2">
      <c r="M8372" s="309"/>
      <c r="AB8372" s="310"/>
    </row>
    <row r="8373" spans="13:28" s="308" customFormat="1" x14ac:dyDescent="0.2">
      <c r="M8373" s="309"/>
      <c r="AB8373" s="310"/>
    </row>
    <row r="8374" spans="13:28" s="308" customFormat="1" x14ac:dyDescent="0.2">
      <c r="M8374" s="309"/>
      <c r="AB8374" s="310"/>
    </row>
    <row r="8375" spans="13:28" s="308" customFormat="1" x14ac:dyDescent="0.2">
      <c r="M8375" s="309"/>
      <c r="AB8375" s="310"/>
    </row>
    <row r="8376" spans="13:28" s="308" customFormat="1" x14ac:dyDescent="0.2">
      <c r="M8376" s="309"/>
      <c r="AB8376" s="310"/>
    </row>
    <row r="8377" spans="13:28" s="308" customFormat="1" x14ac:dyDescent="0.2">
      <c r="M8377" s="309"/>
      <c r="AB8377" s="310"/>
    </row>
    <row r="8378" spans="13:28" s="308" customFormat="1" x14ac:dyDescent="0.2">
      <c r="M8378" s="309"/>
      <c r="AB8378" s="310"/>
    </row>
    <row r="8379" spans="13:28" s="308" customFormat="1" x14ac:dyDescent="0.2">
      <c r="M8379" s="309"/>
      <c r="AB8379" s="310"/>
    </row>
    <row r="8380" spans="13:28" s="308" customFormat="1" x14ac:dyDescent="0.2">
      <c r="M8380" s="309"/>
      <c r="AB8380" s="310"/>
    </row>
    <row r="8381" spans="13:28" s="308" customFormat="1" x14ac:dyDescent="0.2">
      <c r="M8381" s="309"/>
      <c r="AB8381" s="310"/>
    </row>
    <row r="8382" spans="13:28" s="308" customFormat="1" x14ac:dyDescent="0.2">
      <c r="M8382" s="309"/>
      <c r="AB8382" s="310"/>
    </row>
    <row r="8383" spans="13:28" s="308" customFormat="1" x14ac:dyDescent="0.2">
      <c r="M8383" s="309"/>
      <c r="AB8383" s="310"/>
    </row>
    <row r="8384" spans="13:28" s="308" customFormat="1" x14ac:dyDescent="0.2">
      <c r="M8384" s="309"/>
      <c r="AB8384" s="310"/>
    </row>
    <row r="8385" spans="13:28" s="308" customFormat="1" x14ac:dyDescent="0.2">
      <c r="M8385" s="309"/>
      <c r="AB8385" s="310"/>
    </row>
    <row r="8386" spans="13:28" s="308" customFormat="1" x14ac:dyDescent="0.2">
      <c r="M8386" s="309"/>
      <c r="AB8386" s="310"/>
    </row>
    <row r="8387" spans="13:28" s="308" customFormat="1" x14ac:dyDescent="0.2">
      <c r="M8387" s="309"/>
      <c r="AB8387" s="310"/>
    </row>
    <row r="8388" spans="13:28" s="308" customFormat="1" x14ac:dyDescent="0.2">
      <c r="M8388" s="309"/>
      <c r="AB8388" s="310"/>
    </row>
    <row r="8389" spans="13:28" s="308" customFormat="1" x14ac:dyDescent="0.2">
      <c r="M8389" s="309"/>
      <c r="AB8389" s="310"/>
    </row>
    <row r="8390" spans="13:28" s="308" customFormat="1" x14ac:dyDescent="0.2">
      <c r="M8390" s="309"/>
      <c r="AB8390" s="310"/>
    </row>
    <row r="8391" spans="13:28" s="308" customFormat="1" x14ac:dyDescent="0.2">
      <c r="M8391" s="309"/>
      <c r="AB8391" s="310"/>
    </row>
    <row r="8392" spans="13:28" s="308" customFormat="1" x14ac:dyDescent="0.2">
      <c r="M8392" s="309"/>
      <c r="AB8392" s="310"/>
    </row>
    <row r="8393" spans="13:28" s="308" customFormat="1" x14ac:dyDescent="0.2">
      <c r="M8393" s="309"/>
      <c r="AB8393" s="310"/>
    </row>
    <row r="8394" spans="13:28" s="308" customFormat="1" x14ac:dyDescent="0.2">
      <c r="M8394" s="309"/>
      <c r="AB8394" s="310"/>
    </row>
    <row r="8395" spans="13:28" s="308" customFormat="1" x14ac:dyDescent="0.2">
      <c r="M8395" s="309"/>
      <c r="AB8395" s="310"/>
    </row>
    <row r="8396" spans="13:28" s="308" customFormat="1" x14ac:dyDescent="0.2">
      <c r="M8396" s="309"/>
      <c r="AB8396" s="310"/>
    </row>
    <row r="8397" spans="13:28" s="308" customFormat="1" x14ac:dyDescent="0.2">
      <c r="M8397" s="309"/>
      <c r="AB8397" s="310"/>
    </row>
    <row r="8398" spans="13:28" s="308" customFormat="1" x14ac:dyDescent="0.2">
      <c r="M8398" s="309"/>
      <c r="AB8398" s="310"/>
    </row>
    <row r="8399" spans="13:28" s="308" customFormat="1" x14ac:dyDescent="0.2">
      <c r="M8399" s="309"/>
      <c r="AB8399" s="310"/>
    </row>
    <row r="8400" spans="13:28" s="308" customFormat="1" x14ac:dyDescent="0.2">
      <c r="M8400" s="309"/>
      <c r="AB8400" s="310"/>
    </row>
    <row r="8401" spans="13:28" s="308" customFormat="1" x14ac:dyDescent="0.2">
      <c r="M8401" s="309"/>
      <c r="AB8401" s="310"/>
    </row>
    <row r="8402" spans="13:28" s="308" customFormat="1" x14ac:dyDescent="0.2">
      <c r="M8402" s="309"/>
      <c r="AB8402" s="310"/>
    </row>
    <row r="8403" spans="13:28" s="308" customFormat="1" x14ac:dyDescent="0.2">
      <c r="M8403" s="309"/>
      <c r="AB8403" s="310"/>
    </row>
    <row r="8404" spans="13:28" s="308" customFormat="1" x14ac:dyDescent="0.2">
      <c r="M8404" s="309"/>
      <c r="AB8404" s="310"/>
    </row>
    <row r="8405" spans="13:28" s="308" customFormat="1" x14ac:dyDescent="0.2">
      <c r="M8405" s="309"/>
      <c r="AB8405" s="310"/>
    </row>
    <row r="8406" spans="13:28" s="308" customFormat="1" x14ac:dyDescent="0.2">
      <c r="M8406" s="309"/>
      <c r="AB8406" s="310"/>
    </row>
    <row r="8407" spans="13:28" s="308" customFormat="1" x14ac:dyDescent="0.2">
      <c r="M8407" s="309"/>
      <c r="AB8407" s="310"/>
    </row>
    <row r="8408" spans="13:28" s="308" customFormat="1" x14ac:dyDescent="0.2">
      <c r="M8408" s="309"/>
      <c r="AB8408" s="310"/>
    </row>
    <row r="8409" spans="13:28" s="308" customFormat="1" x14ac:dyDescent="0.2">
      <c r="M8409" s="309"/>
      <c r="AB8409" s="310"/>
    </row>
    <row r="8410" spans="13:28" s="308" customFormat="1" x14ac:dyDescent="0.2">
      <c r="M8410" s="309"/>
      <c r="AB8410" s="310"/>
    </row>
    <row r="8411" spans="13:28" s="308" customFormat="1" x14ac:dyDescent="0.2">
      <c r="M8411" s="309"/>
      <c r="AB8411" s="310"/>
    </row>
    <row r="8412" spans="13:28" s="308" customFormat="1" x14ac:dyDescent="0.2">
      <c r="M8412" s="309"/>
      <c r="AB8412" s="310"/>
    </row>
    <row r="8413" spans="13:28" s="308" customFormat="1" x14ac:dyDescent="0.2">
      <c r="M8413" s="309"/>
      <c r="AB8413" s="310"/>
    </row>
    <row r="8414" spans="13:28" s="308" customFormat="1" x14ac:dyDescent="0.2">
      <c r="M8414" s="309"/>
      <c r="AB8414" s="310"/>
    </row>
    <row r="8415" spans="13:28" s="308" customFormat="1" x14ac:dyDescent="0.2">
      <c r="M8415" s="309"/>
      <c r="AB8415" s="310"/>
    </row>
    <row r="8416" spans="13:28" s="308" customFormat="1" x14ac:dyDescent="0.2">
      <c r="M8416" s="309"/>
      <c r="AB8416" s="310"/>
    </row>
    <row r="8417" spans="13:28" s="308" customFormat="1" x14ac:dyDescent="0.2">
      <c r="M8417" s="309"/>
      <c r="AB8417" s="310"/>
    </row>
    <row r="8418" spans="13:28" s="308" customFormat="1" x14ac:dyDescent="0.2">
      <c r="M8418" s="309"/>
      <c r="AB8418" s="310"/>
    </row>
    <row r="8419" spans="13:28" s="308" customFormat="1" x14ac:dyDescent="0.2">
      <c r="M8419" s="309"/>
      <c r="AB8419" s="310"/>
    </row>
    <row r="8420" spans="13:28" s="308" customFormat="1" x14ac:dyDescent="0.2">
      <c r="M8420" s="309"/>
      <c r="AB8420" s="310"/>
    </row>
    <row r="8421" spans="13:28" s="308" customFormat="1" x14ac:dyDescent="0.2">
      <c r="M8421" s="309"/>
      <c r="AB8421" s="310"/>
    </row>
    <row r="8422" spans="13:28" s="308" customFormat="1" x14ac:dyDescent="0.2">
      <c r="M8422" s="309"/>
      <c r="AB8422" s="310"/>
    </row>
    <row r="8423" spans="13:28" s="308" customFormat="1" x14ac:dyDescent="0.2">
      <c r="M8423" s="309"/>
      <c r="AB8423" s="310"/>
    </row>
    <row r="8424" spans="13:28" s="308" customFormat="1" x14ac:dyDescent="0.2">
      <c r="M8424" s="309"/>
      <c r="AB8424" s="310"/>
    </row>
    <row r="8425" spans="13:28" s="308" customFormat="1" x14ac:dyDescent="0.2">
      <c r="M8425" s="309"/>
      <c r="AB8425" s="310"/>
    </row>
    <row r="8426" spans="13:28" s="308" customFormat="1" x14ac:dyDescent="0.2">
      <c r="M8426" s="309"/>
      <c r="AB8426" s="310"/>
    </row>
    <row r="8427" spans="13:28" s="308" customFormat="1" x14ac:dyDescent="0.2">
      <c r="M8427" s="309"/>
      <c r="AB8427" s="310"/>
    </row>
    <row r="8428" spans="13:28" s="308" customFormat="1" x14ac:dyDescent="0.2">
      <c r="M8428" s="309"/>
      <c r="AB8428" s="310"/>
    </row>
    <row r="8429" spans="13:28" s="308" customFormat="1" x14ac:dyDescent="0.2">
      <c r="M8429" s="309"/>
      <c r="AB8429" s="310"/>
    </row>
    <row r="8430" spans="13:28" s="308" customFormat="1" x14ac:dyDescent="0.2">
      <c r="M8430" s="309"/>
      <c r="AB8430" s="310"/>
    </row>
    <row r="8431" spans="13:28" s="308" customFormat="1" x14ac:dyDescent="0.2">
      <c r="M8431" s="309"/>
      <c r="AB8431" s="310"/>
    </row>
    <row r="8432" spans="13:28" s="308" customFormat="1" x14ac:dyDescent="0.2">
      <c r="M8432" s="309"/>
      <c r="AB8432" s="310"/>
    </row>
    <row r="8433" spans="13:28" s="308" customFormat="1" x14ac:dyDescent="0.2">
      <c r="M8433" s="309"/>
      <c r="AB8433" s="310"/>
    </row>
    <row r="8434" spans="13:28" s="308" customFormat="1" x14ac:dyDescent="0.2">
      <c r="M8434" s="309"/>
      <c r="AB8434" s="310"/>
    </row>
    <row r="8435" spans="13:28" s="308" customFormat="1" x14ac:dyDescent="0.2">
      <c r="M8435" s="309"/>
      <c r="AB8435" s="310"/>
    </row>
    <row r="8436" spans="13:28" s="308" customFormat="1" x14ac:dyDescent="0.2">
      <c r="M8436" s="309"/>
      <c r="AB8436" s="310"/>
    </row>
    <row r="8437" spans="13:28" s="308" customFormat="1" x14ac:dyDescent="0.2">
      <c r="M8437" s="309"/>
      <c r="AB8437" s="310"/>
    </row>
    <row r="8438" spans="13:28" s="308" customFormat="1" x14ac:dyDescent="0.2">
      <c r="M8438" s="309"/>
      <c r="AB8438" s="310"/>
    </row>
    <row r="8439" spans="13:28" s="308" customFormat="1" x14ac:dyDescent="0.2">
      <c r="M8439" s="309"/>
      <c r="AB8439" s="310"/>
    </row>
    <row r="8440" spans="13:28" s="308" customFormat="1" x14ac:dyDescent="0.2">
      <c r="M8440" s="309"/>
      <c r="AB8440" s="310"/>
    </row>
    <row r="8441" spans="13:28" s="308" customFormat="1" x14ac:dyDescent="0.2">
      <c r="M8441" s="309"/>
      <c r="AB8441" s="310"/>
    </row>
    <row r="8442" spans="13:28" s="308" customFormat="1" x14ac:dyDescent="0.2">
      <c r="M8442" s="309"/>
      <c r="AB8442" s="310"/>
    </row>
    <row r="8443" spans="13:28" s="308" customFormat="1" x14ac:dyDescent="0.2">
      <c r="M8443" s="309"/>
      <c r="AB8443" s="310"/>
    </row>
    <row r="8444" spans="13:28" s="308" customFormat="1" x14ac:dyDescent="0.2">
      <c r="M8444" s="309"/>
      <c r="AB8444" s="310"/>
    </row>
    <row r="8445" spans="13:28" s="308" customFormat="1" x14ac:dyDescent="0.2">
      <c r="M8445" s="309"/>
      <c r="AB8445" s="310"/>
    </row>
    <row r="8446" spans="13:28" s="308" customFormat="1" x14ac:dyDescent="0.2">
      <c r="M8446" s="309"/>
      <c r="AB8446" s="310"/>
    </row>
    <row r="8447" spans="13:28" s="308" customFormat="1" x14ac:dyDescent="0.2">
      <c r="M8447" s="309"/>
      <c r="AB8447" s="310"/>
    </row>
    <row r="8448" spans="13:28" s="308" customFormat="1" x14ac:dyDescent="0.2">
      <c r="M8448" s="309"/>
      <c r="AB8448" s="310"/>
    </row>
    <row r="8449" spans="13:28" s="308" customFormat="1" x14ac:dyDescent="0.2">
      <c r="M8449" s="309"/>
      <c r="AB8449" s="310"/>
    </row>
    <row r="8450" spans="13:28" s="308" customFormat="1" x14ac:dyDescent="0.2">
      <c r="M8450" s="309"/>
      <c r="AB8450" s="310"/>
    </row>
    <row r="8451" spans="13:28" s="308" customFormat="1" x14ac:dyDescent="0.2">
      <c r="M8451" s="309"/>
      <c r="AB8451" s="310"/>
    </row>
    <row r="8452" spans="13:28" s="308" customFormat="1" x14ac:dyDescent="0.2">
      <c r="M8452" s="309"/>
      <c r="AB8452" s="310"/>
    </row>
    <row r="8453" spans="13:28" s="308" customFormat="1" x14ac:dyDescent="0.2">
      <c r="M8453" s="309"/>
      <c r="AB8453" s="310"/>
    </row>
    <row r="8454" spans="13:28" s="308" customFormat="1" x14ac:dyDescent="0.2">
      <c r="M8454" s="309"/>
      <c r="AB8454" s="310"/>
    </row>
    <row r="8455" spans="13:28" s="308" customFormat="1" x14ac:dyDescent="0.2">
      <c r="M8455" s="309"/>
      <c r="AB8455" s="310"/>
    </row>
    <row r="8456" spans="13:28" s="308" customFormat="1" x14ac:dyDescent="0.2">
      <c r="M8456" s="309"/>
      <c r="AB8456" s="310"/>
    </row>
    <row r="8457" spans="13:28" s="308" customFormat="1" x14ac:dyDescent="0.2">
      <c r="M8457" s="309"/>
      <c r="AB8457" s="310"/>
    </row>
    <row r="8458" spans="13:28" s="308" customFormat="1" x14ac:dyDescent="0.2">
      <c r="M8458" s="309"/>
      <c r="AB8458" s="310"/>
    </row>
    <row r="8459" spans="13:28" s="308" customFormat="1" x14ac:dyDescent="0.2">
      <c r="M8459" s="309"/>
      <c r="AB8459" s="310"/>
    </row>
    <row r="8460" spans="13:28" s="308" customFormat="1" x14ac:dyDescent="0.2">
      <c r="M8460" s="309"/>
      <c r="AB8460" s="310"/>
    </row>
    <row r="8461" spans="13:28" s="308" customFormat="1" x14ac:dyDescent="0.2">
      <c r="M8461" s="309"/>
      <c r="AB8461" s="310"/>
    </row>
    <row r="8462" spans="13:28" s="308" customFormat="1" x14ac:dyDescent="0.2">
      <c r="M8462" s="309"/>
      <c r="AB8462" s="310"/>
    </row>
    <row r="8463" spans="13:28" s="308" customFormat="1" x14ac:dyDescent="0.2">
      <c r="M8463" s="309"/>
      <c r="AB8463" s="310"/>
    </row>
    <row r="8464" spans="13:28" s="308" customFormat="1" x14ac:dyDescent="0.2">
      <c r="M8464" s="309"/>
      <c r="AB8464" s="310"/>
    </row>
    <row r="8465" spans="13:28" s="308" customFormat="1" x14ac:dyDescent="0.2">
      <c r="M8465" s="309"/>
      <c r="AB8465" s="310"/>
    </row>
    <row r="8466" spans="13:28" s="308" customFormat="1" x14ac:dyDescent="0.2">
      <c r="M8466" s="309"/>
      <c r="AB8466" s="310"/>
    </row>
    <row r="8467" spans="13:28" s="308" customFormat="1" x14ac:dyDescent="0.2">
      <c r="M8467" s="309"/>
      <c r="AB8467" s="310"/>
    </row>
    <row r="8468" spans="13:28" s="308" customFormat="1" x14ac:dyDescent="0.2">
      <c r="M8468" s="309"/>
      <c r="AB8468" s="310"/>
    </row>
    <row r="8469" spans="13:28" s="308" customFormat="1" x14ac:dyDescent="0.2">
      <c r="M8469" s="309"/>
      <c r="AB8469" s="310"/>
    </row>
    <row r="8470" spans="13:28" s="308" customFormat="1" x14ac:dyDescent="0.2">
      <c r="M8470" s="309"/>
      <c r="AB8470" s="310"/>
    </row>
    <row r="8471" spans="13:28" s="308" customFormat="1" x14ac:dyDescent="0.2">
      <c r="M8471" s="309"/>
      <c r="AB8471" s="310"/>
    </row>
    <row r="8472" spans="13:28" s="308" customFormat="1" x14ac:dyDescent="0.2">
      <c r="M8472" s="309"/>
      <c r="AB8472" s="310"/>
    </row>
    <row r="8473" spans="13:28" s="308" customFormat="1" x14ac:dyDescent="0.2">
      <c r="M8473" s="309"/>
      <c r="AB8473" s="310"/>
    </row>
    <row r="8474" spans="13:28" s="308" customFormat="1" x14ac:dyDescent="0.2">
      <c r="M8474" s="309"/>
      <c r="AB8474" s="310"/>
    </row>
    <row r="8475" spans="13:28" s="308" customFormat="1" x14ac:dyDescent="0.2">
      <c r="M8475" s="309"/>
      <c r="AB8475" s="310"/>
    </row>
    <row r="8476" spans="13:28" s="308" customFormat="1" x14ac:dyDescent="0.2">
      <c r="M8476" s="309"/>
      <c r="AB8476" s="310"/>
    </row>
    <row r="8477" spans="13:28" s="308" customFormat="1" x14ac:dyDescent="0.2">
      <c r="M8477" s="309"/>
      <c r="AB8477" s="310"/>
    </row>
    <row r="8478" spans="13:28" s="308" customFormat="1" x14ac:dyDescent="0.2">
      <c r="M8478" s="309"/>
      <c r="AB8478" s="310"/>
    </row>
    <row r="8479" spans="13:28" s="308" customFormat="1" x14ac:dyDescent="0.2">
      <c r="M8479" s="309"/>
      <c r="AB8479" s="310"/>
    </row>
    <row r="8480" spans="13:28" s="308" customFormat="1" x14ac:dyDescent="0.2">
      <c r="M8480" s="309"/>
      <c r="AB8480" s="310"/>
    </row>
    <row r="8481" spans="13:28" s="308" customFormat="1" x14ac:dyDescent="0.2">
      <c r="M8481" s="309"/>
      <c r="AB8481" s="310"/>
    </row>
    <row r="8482" spans="13:28" s="308" customFormat="1" x14ac:dyDescent="0.2">
      <c r="M8482" s="309"/>
      <c r="AB8482" s="310"/>
    </row>
    <row r="8483" spans="13:28" s="308" customFormat="1" x14ac:dyDescent="0.2">
      <c r="M8483" s="309"/>
      <c r="AB8483" s="310"/>
    </row>
    <row r="8484" spans="13:28" s="308" customFormat="1" x14ac:dyDescent="0.2">
      <c r="M8484" s="309"/>
      <c r="AB8484" s="310"/>
    </row>
    <row r="8485" spans="13:28" s="308" customFormat="1" x14ac:dyDescent="0.2">
      <c r="M8485" s="309"/>
      <c r="AB8485" s="310"/>
    </row>
    <row r="8486" spans="13:28" s="308" customFormat="1" x14ac:dyDescent="0.2">
      <c r="M8486" s="309"/>
      <c r="AB8486" s="310"/>
    </row>
    <row r="8487" spans="13:28" s="308" customFormat="1" x14ac:dyDescent="0.2">
      <c r="M8487" s="309"/>
      <c r="AB8487" s="310"/>
    </row>
    <row r="8488" spans="13:28" s="308" customFormat="1" x14ac:dyDescent="0.2">
      <c r="M8488" s="309"/>
      <c r="AB8488" s="310"/>
    </row>
    <row r="8489" spans="13:28" s="308" customFormat="1" x14ac:dyDescent="0.2">
      <c r="M8489" s="309"/>
      <c r="AB8489" s="310"/>
    </row>
    <row r="8490" spans="13:28" s="308" customFormat="1" x14ac:dyDescent="0.2">
      <c r="M8490" s="309"/>
      <c r="AB8490" s="310"/>
    </row>
    <row r="8491" spans="13:28" s="308" customFormat="1" x14ac:dyDescent="0.2">
      <c r="M8491" s="309"/>
      <c r="AB8491" s="310"/>
    </row>
    <row r="8492" spans="13:28" s="308" customFormat="1" x14ac:dyDescent="0.2">
      <c r="M8492" s="309"/>
      <c r="AB8492" s="310"/>
    </row>
    <row r="8493" spans="13:28" s="308" customFormat="1" x14ac:dyDescent="0.2">
      <c r="M8493" s="309"/>
      <c r="AB8493" s="310"/>
    </row>
    <row r="8494" spans="13:28" s="308" customFormat="1" x14ac:dyDescent="0.2">
      <c r="M8494" s="309"/>
      <c r="AB8494" s="310"/>
    </row>
    <row r="8495" spans="13:28" s="308" customFormat="1" x14ac:dyDescent="0.2">
      <c r="M8495" s="309"/>
      <c r="AB8495" s="310"/>
    </row>
    <row r="8496" spans="13:28" s="308" customFormat="1" x14ac:dyDescent="0.2">
      <c r="M8496" s="309"/>
      <c r="AB8496" s="310"/>
    </row>
    <row r="8497" spans="13:28" s="308" customFormat="1" x14ac:dyDescent="0.2">
      <c r="M8497" s="309"/>
      <c r="AB8497" s="310"/>
    </row>
    <row r="8498" spans="13:28" s="308" customFormat="1" x14ac:dyDescent="0.2">
      <c r="M8498" s="309"/>
      <c r="AB8498" s="310"/>
    </row>
    <row r="8499" spans="13:28" s="308" customFormat="1" x14ac:dyDescent="0.2">
      <c r="M8499" s="309"/>
      <c r="AB8499" s="310"/>
    </row>
    <row r="8500" spans="13:28" s="308" customFormat="1" x14ac:dyDescent="0.2">
      <c r="M8500" s="309"/>
      <c r="AB8500" s="310"/>
    </row>
    <row r="8501" spans="13:28" s="308" customFormat="1" x14ac:dyDescent="0.2">
      <c r="M8501" s="309"/>
      <c r="AB8501" s="310"/>
    </row>
    <row r="8502" spans="13:28" s="308" customFormat="1" x14ac:dyDescent="0.2">
      <c r="M8502" s="309"/>
      <c r="AB8502" s="310"/>
    </row>
    <row r="8503" spans="13:28" s="308" customFormat="1" x14ac:dyDescent="0.2">
      <c r="M8503" s="309"/>
      <c r="AB8503" s="310"/>
    </row>
    <row r="8504" spans="13:28" s="308" customFormat="1" x14ac:dyDescent="0.2">
      <c r="M8504" s="309"/>
      <c r="AB8504" s="310"/>
    </row>
    <row r="8505" spans="13:28" s="308" customFormat="1" x14ac:dyDescent="0.2">
      <c r="M8505" s="309"/>
      <c r="AB8505" s="310"/>
    </row>
    <row r="8506" spans="13:28" s="308" customFormat="1" x14ac:dyDescent="0.2">
      <c r="M8506" s="309"/>
      <c r="AB8506" s="310"/>
    </row>
    <row r="8507" spans="13:28" s="308" customFormat="1" x14ac:dyDescent="0.2">
      <c r="M8507" s="309"/>
      <c r="AB8507" s="310"/>
    </row>
    <row r="8508" spans="13:28" s="308" customFormat="1" x14ac:dyDescent="0.2">
      <c r="M8508" s="309"/>
      <c r="AB8508" s="310"/>
    </row>
    <row r="8509" spans="13:28" s="308" customFormat="1" x14ac:dyDescent="0.2">
      <c r="M8509" s="309"/>
      <c r="AB8509" s="310"/>
    </row>
    <row r="8510" spans="13:28" s="308" customFormat="1" x14ac:dyDescent="0.2">
      <c r="M8510" s="309"/>
      <c r="AB8510" s="310"/>
    </row>
    <row r="8511" spans="13:28" s="308" customFormat="1" x14ac:dyDescent="0.2">
      <c r="M8511" s="309"/>
      <c r="AB8511" s="310"/>
    </row>
    <row r="8512" spans="13:28" s="308" customFormat="1" x14ac:dyDescent="0.2">
      <c r="M8512" s="309"/>
      <c r="AB8512" s="310"/>
    </row>
    <row r="8513" spans="13:28" s="308" customFormat="1" x14ac:dyDescent="0.2">
      <c r="M8513" s="309"/>
      <c r="AB8513" s="310"/>
    </row>
    <row r="8514" spans="13:28" s="308" customFormat="1" x14ac:dyDescent="0.2">
      <c r="M8514" s="309"/>
      <c r="AB8514" s="310"/>
    </row>
    <row r="8515" spans="13:28" s="308" customFormat="1" x14ac:dyDescent="0.2">
      <c r="M8515" s="309"/>
      <c r="AB8515" s="310"/>
    </row>
    <row r="8516" spans="13:28" s="308" customFormat="1" x14ac:dyDescent="0.2">
      <c r="M8516" s="309"/>
      <c r="AB8516" s="310"/>
    </row>
    <row r="8517" spans="13:28" s="308" customFormat="1" x14ac:dyDescent="0.2">
      <c r="M8517" s="309"/>
      <c r="AB8517" s="310"/>
    </row>
    <row r="8518" spans="13:28" s="308" customFormat="1" x14ac:dyDescent="0.2">
      <c r="M8518" s="309"/>
      <c r="AB8518" s="310"/>
    </row>
    <row r="8519" spans="13:28" s="308" customFormat="1" x14ac:dyDescent="0.2">
      <c r="M8519" s="309"/>
      <c r="AB8519" s="310"/>
    </row>
    <row r="8520" spans="13:28" s="308" customFormat="1" x14ac:dyDescent="0.2">
      <c r="M8520" s="309"/>
      <c r="AB8520" s="310"/>
    </row>
    <row r="8521" spans="13:28" s="308" customFormat="1" x14ac:dyDescent="0.2">
      <c r="M8521" s="309"/>
      <c r="AB8521" s="310"/>
    </row>
    <row r="8522" spans="13:28" s="308" customFormat="1" x14ac:dyDescent="0.2">
      <c r="M8522" s="309"/>
      <c r="AB8522" s="310"/>
    </row>
    <row r="8523" spans="13:28" s="308" customFormat="1" x14ac:dyDescent="0.2">
      <c r="M8523" s="309"/>
      <c r="AB8523" s="310"/>
    </row>
    <row r="8524" spans="13:28" s="308" customFormat="1" x14ac:dyDescent="0.2">
      <c r="M8524" s="309"/>
      <c r="AB8524" s="310"/>
    </row>
    <row r="8525" spans="13:28" s="308" customFormat="1" x14ac:dyDescent="0.2">
      <c r="M8525" s="309"/>
      <c r="AB8525" s="310"/>
    </row>
    <row r="8526" spans="13:28" s="308" customFormat="1" x14ac:dyDescent="0.2">
      <c r="M8526" s="309"/>
      <c r="AB8526" s="310"/>
    </row>
    <row r="8527" spans="13:28" s="308" customFormat="1" x14ac:dyDescent="0.2">
      <c r="M8527" s="309"/>
      <c r="AB8527" s="310"/>
    </row>
    <row r="8528" spans="13:28" s="308" customFormat="1" x14ac:dyDescent="0.2">
      <c r="M8528" s="309"/>
      <c r="AB8528" s="310"/>
    </row>
    <row r="8529" spans="13:28" s="308" customFormat="1" x14ac:dyDescent="0.2">
      <c r="M8529" s="309"/>
      <c r="AB8529" s="310"/>
    </row>
    <row r="8530" spans="13:28" s="308" customFormat="1" x14ac:dyDescent="0.2">
      <c r="M8530" s="309"/>
      <c r="AB8530" s="310"/>
    </row>
    <row r="8531" spans="13:28" s="308" customFormat="1" x14ac:dyDescent="0.2">
      <c r="M8531" s="309"/>
      <c r="AB8531" s="310"/>
    </row>
    <row r="8532" spans="13:28" s="308" customFormat="1" x14ac:dyDescent="0.2">
      <c r="M8532" s="309"/>
      <c r="AB8532" s="310"/>
    </row>
    <row r="8533" spans="13:28" s="308" customFormat="1" x14ac:dyDescent="0.2">
      <c r="M8533" s="309"/>
      <c r="AB8533" s="310"/>
    </row>
    <row r="8534" spans="13:28" s="308" customFormat="1" x14ac:dyDescent="0.2">
      <c r="M8534" s="309"/>
      <c r="AB8534" s="310"/>
    </row>
    <row r="8535" spans="13:28" s="308" customFormat="1" x14ac:dyDescent="0.2">
      <c r="M8535" s="309"/>
      <c r="AB8535" s="310"/>
    </row>
    <row r="8536" spans="13:28" s="308" customFormat="1" x14ac:dyDescent="0.2">
      <c r="M8536" s="309"/>
      <c r="AB8536" s="310"/>
    </row>
    <row r="8537" spans="13:28" s="308" customFormat="1" x14ac:dyDescent="0.2">
      <c r="M8537" s="309"/>
      <c r="AB8537" s="310"/>
    </row>
    <row r="8538" spans="13:28" s="308" customFormat="1" x14ac:dyDescent="0.2">
      <c r="M8538" s="309"/>
      <c r="AB8538" s="310"/>
    </row>
    <row r="8539" spans="13:28" s="308" customFormat="1" x14ac:dyDescent="0.2">
      <c r="M8539" s="309"/>
      <c r="AB8539" s="310"/>
    </row>
    <row r="8540" spans="13:28" s="308" customFormat="1" x14ac:dyDescent="0.2">
      <c r="M8540" s="309"/>
      <c r="AB8540" s="310"/>
    </row>
    <row r="8541" spans="13:28" s="308" customFormat="1" x14ac:dyDescent="0.2">
      <c r="M8541" s="309"/>
      <c r="AB8541" s="310"/>
    </row>
    <row r="8542" spans="13:28" s="308" customFormat="1" x14ac:dyDescent="0.2">
      <c r="M8542" s="309"/>
      <c r="AB8542" s="310"/>
    </row>
    <row r="8543" spans="13:28" s="308" customFormat="1" x14ac:dyDescent="0.2">
      <c r="M8543" s="309"/>
      <c r="AB8543" s="310"/>
    </row>
    <row r="8544" spans="13:28" s="308" customFormat="1" x14ac:dyDescent="0.2">
      <c r="M8544" s="309"/>
      <c r="AB8544" s="310"/>
    </row>
    <row r="8545" spans="13:28" s="308" customFormat="1" x14ac:dyDescent="0.2">
      <c r="M8545" s="309"/>
      <c r="AB8545" s="310"/>
    </row>
    <row r="8546" spans="13:28" s="308" customFormat="1" x14ac:dyDescent="0.2">
      <c r="M8546" s="309"/>
      <c r="AB8546" s="310"/>
    </row>
    <row r="8547" spans="13:28" s="308" customFormat="1" x14ac:dyDescent="0.2">
      <c r="M8547" s="309"/>
      <c r="AB8547" s="310"/>
    </row>
    <row r="8548" spans="13:28" s="308" customFormat="1" x14ac:dyDescent="0.2">
      <c r="M8548" s="309"/>
      <c r="AB8548" s="310"/>
    </row>
    <row r="8549" spans="13:28" s="308" customFormat="1" x14ac:dyDescent="0.2">
      <c r="M8549" s="309"/>
      <c r="AB8549" s="310"/>
    </row>
    <row r="8550" spans="13:28" s="308" customFormat="1" x14ac:dyDescent="0.2">
      <c r="M8550" s="309"/>
      <c r="AB8550" s="310"/>
    </row>
    <row r="8551" spans="13:28" s="308" customFormat="1" x14ac:dyDescent="0.2">
      <c r="M8551" s="309"/>
      <c r="AB8551" s="310"/>
    </row>
    <row r="8552" spans="13:28" s="308" customFormat="1" x14ac:dyDescent="0.2">
      <c r="M8552" s="309"/>
      <c r="AB8552" s="310"/>
    </row>
    <row r="8553" spans="13:28" s="308" customFormat="1" x14ac:dyDescent="0.2">
      <c r="M8553" s="309"/>
      <c r="AB8553" s="310"/>
    </row>
    <row r="8554" spans="13:28" s="308" customFormat="1" x14ac:dyDescent="0.2">
      <c r="M8554" s="309"/>
      <c r="AB8554" s="310"/>
    </row>
    <row r="8555" spans="13:28" s="308" customFormat="1" x14ac:dyDescent="0.2">
      <c r="M8555" s="309"/>
      <c r="AB8555" s="310"/>
    </row>
    <row r="8556" spans="13:28" s="308" customFormat="1" x14ac:dyDescent="0.2">
      <c r="M8556" s="309"/>
      <c r="AB8556" s="310"/>
    </row>
    <row r="8557" spans="13:28" s="308" customFormat="1" x14ac:dyDescent="0.2">
      <c r="M8557" s="309"/>
      <c r="AB8557" s="310"/>
    </row>
    <row r="8558" spans="13:28" s="308" customFormat="1" x14ac:dyDescent="0.2">
      <c r="M8558" s="309"/>
      <c r="AB8558" s="310"/>
    </row>
    <row r="8559" spans="13:28" s="308" customFormat="1" x14ac:dyDescent="0.2">
      <c r="M8559" s="309"/>
      <c r="AB8559" s="310"/>
    </row>
    <row r="8560" spans="13:28" s="308" customFormat="1" x14ac:dyDescent="0.2">
      <c r="M8560" s="309"/>
      <c r="AB8560" s="310"/>
    </row>
    <row r="8561" spans="13:28" s="308" customFormat="1" x14ac:dyDescent="0.2">
      <c r="M8561" s="309"/>
      <c r="AB8561" s="310"/>
    </row>
    <row r="8562" spans="13:28" s="308" customFormat="1" x14ac:dyDescent="0.2">
      <c r="M8562" s="309"/>
      <c r="AB8562" s="310"/>
    </row>
    <row r="8563" spans="13:28" s="308" customFormat="1" x14ac:dyDescent="0.2">
      <c r="M8563" s="309"/>
      <c r="AB8563" s="310"/>
    </row>
    <row r="8564" spans="13:28" s="308" customFormat="1" x14ac:dyDescent="0.2">
      <c r="M8564" s="309"/>
      <c r="AB8564" s="310"/>
    </row>
    <row r="8565" spans="13:28" s="308" customFormat="1" x14ac:dyDescent="0.2">
      <c r="M8565" s="309"/>
      <c r="AB8565" s="310"/>
    </row>
    <row r="8566" spans="13:28" s="308" customFormat="1" x14ac:dyDescent="0.2">
      <c r="M8566" s="309"/>
      <c r="AB8566" s="310"/>
    </row>
    <row r="8567" spans="13:28" s="308" customFormat="1" x14ac:dyDescent="0.2">
      <c r="M8567" s="309"/>
      <c r="AB8567" s="310"/>
    </row>
    <row r="8568" spans="13:28" s="308" customFormat="1" x14ac:dyDescent="0.2">
      <c r="M8568" s="309"/>
      <c r="AB8568" s="310"/>
    </row>
    <row r="8569" spans="13:28" s="308" customFormat="1" x14ac:dyDescent="0.2">
      <c r="M8569" s="309"/>
      <c r="AB8569" s="310"/>
    </row>
    <row r="8570" spans="13:28" s="308" customFormat="1" x14ac:dyDescent="0.2">
      <c r="M8570" s="309"/>
      <c r="AB8570" s="310"/>
    </row>
    <row r="8571" spans="13:28" s="308" customFormat="1" x14ac:dyDescent="0.2">
      <c r="M8571" s="309"/>
      <c r="AB8571" s="310"/>
    </row>
    <row r="8572" spans="13:28" s="308" customFormat="1" x14ac:dyDescent="0.2">
      <c r="M8572" s="309"/>
      <c r="AB8572" s="310"/>
    </row>
    <row r="8573" spans="13:28" s="308" customFormat="1" x14ac:dyDescent="0.2">
      <c r="M8573" s="309"/>
      <c r="AB8573" s="310"/>
    </row>
    <row r="8574" spans="13:28" s="308" customFormat="1" x14ac:dyDescent="0.2">
      <c r="M8574" s="309"/>
      <c r="AB8574" s="310"/>
    </row>
    <row r="8575" spans="13:28" s="308" customFormat="1" x14ac:dyDescent="0.2">
      <c r="M8575" s="309"/>
      <c r="AB8575" s="310"/>
    </row>
    <row r="8576" spans="13:28" s="308" customFormat="1" x14ac:dyDescent="0.2">
      <c r="M8576" s="309"/>
      <c r="AB8576" s="310"/>
    </row>
    <row r="8577" spans="13:28" s="308" customFormat="1" x14ac:dyDescent="0.2">
      <c r="M8577" s="309"/>
      <c r="AB8577" s="310"/>
    </row>
    <row r="8578" spans="13:28" s="308" customFormat="1" x14ac:dyDescent="0.2">
      <c r="M8578" s="309"/>
      <c r="AB8578" s="310"/>
    </row>
    <row r="8579" spans="13:28" s="308" customFormat="1" x14ac:dyDescent="0.2">
      <c r="M8579" s="309"/>
      <c r="AB8579" s="310"/>
    </row>
    <row r="8580" spans="13:28" s="308" customFormat="1" x14ac:dyDescent="0.2">
      <c r="M8580" s="309"/>
      <c r="AB8580" s="310"/>
    </row>
    <row r="8581" spans="13:28" s="308" customFormat="1" x14ac:dyDescent="0.2">
      <c r="M8581" s="309"/>
      <c r="AB8581" s="310"/>
    </row>
    <row r="8582" spans="13:28" s="308" customFormat="1" x14ac:dyDescent="0.2">
      <c r="M8582" s="309"/>
      <c r="AB8582" s="310"/>
    </row>
    <row r="8583" spans="13:28" s="308" customFormat="1" x14ac:dyDescent="0.2">
      <c r="M8583" s="309"/>
      <c r="AB8583" s="310"/>
    </row>
    <row r="8584" spans="13:28" s="308" customFormat="1" x14ac:dyDescent="0.2">
      <c r="M8584" s="309"/>
      <c r="AB8584" s="310"/>
    </row>
    <row r="8585" spans="13:28" s="308" customFormat="1" x14ac:dyDescent="0.2">
      <c r="M8585" s="309"/>
      <c r="AB8585" s="310"/>
    </row>
    <row r="8586" spans="13:28" s="308" customFormat="1" x14ac:dyDescent="0.2">
      <c r="M8586" s="309"/>
      <c r="AB8586" s="310"/>
    </row>
    <row r="8587" spans="13:28" s="308" customFormat="1" x14ac:dyDescent="0.2">
      <c r="M8587" s="309"/>
      <c r="AB8587" s="310"/>
    </row>
    <row r="8588" spans="13:28" s="308" customFormat="1" x14ac:dyDescent="0.2">
      <c r="M8588" s="309"/>
      <c r="AB8588" s="310"/>
    </row>
    <row r="8589" spans="13:28" s="308" customFormat="1" x14ac:dyDescent="0.2">
      <c r="M8589" s="309"/>
      <c r="AB8589" s="310"/>
    </row>
    <row r="8590" spans="13:28" s="308" customFormat="1" x14ac:dyDescent="0.2">
      <c r="M8590" s="309"/>
      <c r="AB8590" s="310"/>
    </row>
    <row r="8591" spans="13:28" s="308" customFormat="1" x14ac:dyDescent="0.2">
      <c r="M8591" s="309"/>
      <c r="AB8591" s="310"/>
    </row>
    <row r="8592" spans="13:28" s="308" customFormat="1" x14ac:dyDescent="0.2">
      <c r="M8592" s="309"/>
      <c r="AB8592" s="310"/>
    </row>
    <row r="8593" spans="13:28" s="308" customFormat="1" x14ac:dyDescent="0.2">
      <c r="M8593" s="309"/>
      <c r="AB8593" s="310"/>
    </row>
    <row r="8594" spans="13:28" s="308" customFormat="1" x14ac:dyDescent="0.2">
      <c r="M8594" s="309"/>
      <c r="AB8594" s="310"/>
    </row>
    <row r="8595" spans="13:28" s="308" customFormat="1" x14ac:dyDescent="0.2">
      <c r="M8595" s="309"/>
      <c r="AB8595" s="310"/>
    </row>
    <row r="8596" spans="13:28" s="308" customFormat="1" x14ac:dyDescent="0.2">
      <c r="M8596" s="309"/>
      <c r="AB8596" s="310"/>
    </row>
    <row r="8597" spans="13:28" s="308" customFormat="1" x14ac:dyDescent="0.2">
      <c r="M8597" s="309"/>
      <c r="AB8597" s="310"/>
    </row>
    <row r="8598" spans="13:28" s="308" customFormat="1" x14ac:dyDescent="0.2">
      <c r="M8598" s="309"/>
      <c r="AB8598" s="310"/>
    </row>
    <row r="8599" spans="13:28" s="308" customFormat="1" x14ac:dyDescent="0.2">
      <c r="M8599" s="309"/>
      <c r="AB8599" s="310"/>
    </row>
    <row r="8600" spans="13:28" s="308" customFormat="1" x14ac:dyDescent="0.2">
      <c r="M8600" s="309"/>
      <c r="AB8600" s="310"/>
    </row>
    <row r="8601" spans="13:28" s="308" customFormat="1" x14ac:dyDescent="0.2">
      <c r="M8601" s="309"/>
      <c r="AB8601" s="310"/>
    </row>
    <row r="8602" spans="13:28" s="308" customFormat="1" x14ac:dyDescent="0.2">
      <c r="M8602" s="309"/>
      <c r="AB8602" s="310"/>
    </row>
    <row r="8603" spans="13:28" s="308" customFormat="1" x14ac:dyDescent="0.2">
      <c r="M8603" s="309"/>
      <c r="AB8603" s="310"/>
    </row>
    <row r="8604" spans="13:28" s="308" customFormat="1" x14ac:dyDescent="0.2">
      <c r="M8604" s="309"/>
      <c r="AB8604" s="310"/>
    </row>
    <row r="8605" spans="13:28" s="308" customFormat="1" x14ac:dyDescent="0.2">
      <c r="M8605" s="309"/>
      <c r="AB8605" s="310"/>
    </row>
    <row r="8606" spans="13:28" s="308" customFormat="1" x14ac:dyDescent="0.2">
      <c r="M8606" s="309"/>
      <c r="AB8606" s="310"/>
    </row>
    <row r="8607" spans="13:28" s="308" customFormat="1" x14ac:dyDescent="0.2">
      <c r="M8607" s="309"/>
      <c r="AB8607" s="310"/>
    </row>
    <row r="8608" spans="13:28" s="308" customFormat="1" x14ac:dyDescent="0.2">
      <c r="M8608" s="309"/>
      <c r="AB8608" s="310"/>
    </row>
    <row r="8609" spans="13:28" s="308" customFormat="1" x14ac:dyDescent="0.2">
      <c r="M8609" s="309"/>
      <c r="AB8609" s="310"/>
    </row>
    <row r="8610" spans="13:28" s="308" customFormat="1" x14ac:dyDescent="0.2">
      <c r="M8610" s="309"/>
      <c r="AB8610" s="310"/>
    </row>
    <row r="8611" spans="13:28" s="308" customFormat="1" x14ac:dyDescent="0.2">
      <c r="M8611" s="309"/>
      <c r="AB8611" s="310"/>
    </row>
    <row r="8612" spans="13:28" s="308" customFormat="1" x14ac:dyDescent="0.2">
      <c r="M8612" s="309"/>
      <c r="AB8612" s="310"/>
    </row>
    <row r="8613" spans="13:28" s="308" customFormat="1" x14ac:dyDescent="0.2">
      <c r="M8613" s="309"/>
      <c r="AB8613" s="310"/>
    </row>
    <row r="8614" spans="13:28" s="308" customFormat="1" x14ac:dyDescent="0.2">
      <c r="M8614" s="309"/>
      <c r="AB8614" s="310"/>
    </row>
    <row r="8615" spans="13:28" s="308" customFormat="1" x14ac:dyDescent="0.2">
      <c r="M8615" s="309"/>
      <c r="AB8615" s="310"/>
    </row>
    <row r="8616" spans="13:28" s="308" customFormat="1" x14ac:dyDescent="0.2">
      <c r="M8616" s="309"/>
      <c r="AB8616" s="310"/>
    </row>
    <row r="8617" spans="13:28" s="308" customFormat="1" x14ac:dyDescent="0.2">
      <c r="M8617" s="309"/>
      <c r="AB8617" s="310"/>
    </row>
    <row r="8618" spans="13:28" s="308" customFormat="1" x14ac:dyDescent="0.2">
      <c r="M8618" s="309"/>
      <c r="AB8618" s="310"/>
    </row>
    <row r="8619" spans="13:28" s="308" customFormat="1" x14ac:dyDescent="0.2">
      <c r="M8619" s="309"/>
      <c r="AB8619" s="310"/>
    </row>
    <row r="8620" spans="13:28" s="308" customFormat="1" x14ac:dyDescent="0.2">
      <c r="M8620" s="309"/>
      <c r="AB8620" s="310"/>
    </row>
    <row r="8621" spans="13:28" s="308" customFormat="1" x14ac:dyDescent="0.2">
      <c r="M8621" s="309"/>
      <c r="AB8621" s="310"/>
    </row>
    <row r="8622" spans="13:28" s="308" customFormat="1" x14ac:dyDescent="0.2">
      <c r="M8622" s="309"/>
      <c r="AB8622" s="310"/>
    </row>
    <row r="8623" spans="13:28" s="308" customFormat="1" x14ac:dyDescent="0.2">
      <c r="M8623" s="309"/>
      <c r="AB8623" s="310"/>
    </row>
    <row r="8624" spans="13:28" s="308" customFormat="1" x14ac:dyDescent="0.2">
      <c r="M8624" s="309"/>
      <c r="AB8624" s="310"/>
    </row>
    <row r="8625" spans="13:28" s="308" customFormat="1" x14ac:dyDescent="0.2">
      <c r="M8625" s="309"/>
      <c r="AB8625" s="310"/>
    </row>
    <row r="8626" spans="13:28" s="308" customFormat="1" x14ac:dyDescent="0.2">
      <c r="M8626" s="309"/>
      <c r="AB8626" s="310"/>
    </row>
    <row r="8627" spans="13:28" s="308" customFormat="1" x14ac:dyDescent="0.2">
      <c r="M8627" s="309"/>
      <c r="AB8627" s="310"/>
    </row>
    <row r="8628" spans="13:28" s="308" customFormat="1" x14ac:dyDescent="0.2">
      <c r="M8628" s="309"/>
      <c r="AB8628" s="310"/>
    </row>
    <row r="8629" spans="13:28" s="308" customFormat="1" x14ac:dyDescent="0.2">
      <c r="M8629" s="309"/>
      <c r="AB8629" s="310"/>
    </row>
    <row r="8630" spans="13:28" s="308" customFormat="1" x14ac:dyDescent="0.2">
      <c r="M8630" s="309"/>
      <c r="AB8630" s="310"/>
    </row>
    <row r="8631" spans="13:28" s="308" customFormat="1" x14ac:dyDescent="0.2">
      <c r="M8631" s="309"/>
      <c r="AB8631" s="310"/>
    </row>
    <row r="8632" spans="13:28" s="308" customFormat="1" x14ac:dyDescent="0.2">
      <c r="M8632" s="309"/>
      <c r="AB8632" s="310"/>
    </row>
    <row r="8633" spans="13:28" s="308" customFormat="1" x14ac:dyDescent="0.2">
      <c r="M8633" s="309"/>
      <c r="AB8633" s="310"/>
    </row>
    <row r="8634" spans="13:28" s="308" customFormat="1" x14ac:dyDescent="0.2">
      <c r="M8634" s="309"/>
      <c r="AB8634" s="310"/>
    </row>
    <row r="8635" spans="13:28" s="308" customFormat="1" x14ac:dyDescent="0.2">
      <c r="M8635" s="309"/>
      <c r="AB8635" s="310"/>
    </row>
    <row r="8636" spans="13:28" s="308" customFormat="1" x14ac:dyDescent="0.2">
      <c r="M8636" s="309"/>
      <c r="AB8636" s="310"/>
    </row>
    <row r="8637" spans="13:28" s="308" customFormat="1" x14ac:dyDescent="0.2">
      <c r="M8637" s="309"/>
      <c r="AB8637" s="310"/>
    </row>
    <row r="8638" spans="13:28" s="308" customFormat="1" x14ac:dyDescent="0.2">
      <c r="M8638" s="309"/>
      <c r="AB8638" s="310"/>
    </row>
    <row r="8639" spans="13:28" s="308" customFormat="1" x14ac:dyDescent="0.2">
      <c r="M8639" s="309"/>
      <c r="AB8639" s="310"/>
    </row>
    <row r="8640" spans="13:28" s="308" customFormat="1" x14ac:dyDescent="0.2">
      <c r="M8640" s="309"/>
      <c r="AB8640" s="310"/>
    </row>
    <row r="8641" spans="13:28" s="308" customFormat="1" x14ac:dyDescent="0.2">
      <c r="M8641" s="309"/>
      <c r="AB8641" s="310"/>
    </row>
    <row r="8642" spans="13:28" s="308" customFormat="1" x14ac:dyDescent="0.2">
      <c r="M8642" s="309"/>
      <c r="AB8642" s="310"/>
    </row>
    <row r="8643" spans="13:28" s="308" customFormat="1" x14ac:dyDescent="0.2">
      <c r="M8643" s="309"/>
      <c r="AB8643" s="310"/>
    </row>
    <row r="8644" spans="13:28" s="308" customFormat="1" x14ac:dyDescent="0.2">
      <c r="M8644" s="309"/>
      <c r="AB8644" s="310"/>
    </row>
    <row r="8645" spans="13:28" s="308" customFormat="1" x14ac:dyDescent="0.2">
      <c r="M8645" s="309"/>
      <c r="AB8645" s="310"/>
    </row>
    <row r="8646" spans="13:28" s="308" customFormat="1" x14ac:dyDescent="0.2">
      <c r="M8646" s="309"/>
      <c r="AB8646" s="310"/>
    </row>
    <row r="8647" spans="13:28" s="308" customFormat="1" x14ac:dyDescent="0.2">
      <c r="M8647" s="309"/>
      <c r="AB8647" s="310"/>
    </row>
    <row r="8648" spans="13:28" s="308" customFormat="1" x14ac:dyDescent="0.2">
      <c r="M8648" s="309"/>
      <c r="AB8648" s="310"/>
    </row>
    <row r="8649" spans="13:28" s="308" customFormat="1" x14ac:dyDescent="0.2">
      <c r="M8649" s="309"/>
      <c r="AB8649" s="310"/>
    </row>
    <row r="8650" spans="13:28" s="308" customFormat="1" x14ac:dyDescent="0.2">
      <c r="M8650" s="309"/>
      <c r="AB8650" s="310"/>
    </row>
    <row r="8651" spans="13:28" s="308" customFormat="1" x14ac:dyDescent="0.2">
      <c r="M8651" s="309"/>
      <c r="AB8651" s="310"/>
    </row>
    <row r="8652" spans="13:28" s="308" customFormat="1" x14ac:dyDescent="0.2">
      <c r="M8652" s="309"/>
      <c r="AB8652" s="310"/>
    </row>
    <row r="8653" spans="13:28" s="308" customFormat="1" x14ac:dyDescent="0.2">
      <c r="M8653" s="309"/>
      <c r="AB8653" s="310"/>
    </row>
    <row r="8654" spans="13:28" s="308" customFormat="1" x14ac:dyDescent="0.2">
      <c r="M8654" s="309"/>
      <c r="AB8654" s="310"/>
    </row>
    <row r="8655" spans="13:28" s="308" customFormat="1" x14ac:dyDescent="0.2">
      <c r="M8655" s="309"/>
      <c r="AB8655" s="310"/>
    </row>
    <row r="8656" spans="13:28" s="308" customFormat="1" x14ac:dyDescent="0.2">
      <c r="M8656" s="309"/>
      <c r="AB8656" s="310"/>
    </row>
    <row r="8657" spans="13:28" s="308" customFormat="1" x14ac:dyDescent="0.2">
      <c r="M8657" s="309"/>
      <c r="AB8657" s="310"/>
    </row>
    <row r="8658" spans="13:28" s="308" customFormat="1" x14ac:dyDescent="0.2">
      <c r="M8658" s="309"/>
      <c r="AB8658" s="310"/>
    </row>
    <row r="8659" spans="13:28" s="308" customFormat="1" x14ac:dyDescent="0.2">
      <c r="M8659" s="309"/>
      <c r="AB8659" s="310"/>
    </row>
    <row r="8660" spans="13:28" s="308" customFormat="1" x14ac:dyDescent="0.2">
      <c r="M8660" s="309"/>
      <c r="AB8660" s="310"/>
    </row>
    <row r="8661" spans="13:28" s="308" customFormat="1" x14ac:dyDescent="0.2">
      <c r="M8661" s="309"/>
      <c r="AB8661" s="310"/>
    </row>
    <row r="8662" spans="13:28" s="308" customFormat="1" x14ac:dyDescent="0.2">
      <c r="M8662" s="309"/>
      <c r="AB8662" s="310"/>
    </row>
    <row r="8663" spans="13:28" s="308" customFormat="1" x14ac:dyDescent="0.2">
      <c r="M8663" s="309"/>
      <c r="AB8663" s="310"/>
    </row>
    <row r="8664" spans="13:28" s="308" customFormat="1" x14ac:dyDescent="0.2">
      <c r="M8664" s="309"/>
      <c r="AB8664" s="310"/>
    </row>
    <row r="8665" spans="13:28" s="308" customFormat="1" x14ac:dyDescent="0.2">
      <c r="M8665" s="309"/>
      <c r="AB8665" s="310"/>
    </row>
    <row r="8666" spans="13:28" s="308" customFormat="1" x14ac:dyDescent="0.2">
      <c r="M8666" s="309"/>
      <c r="AB8666" s="310"/>
    </row>
    <row r="8667" spans="13:28" s="308" customFormat="1" x14ac:dyDescent="0.2">
      <c r="M8667" s="309"/>
      <c r="AB8667" s="310"/>
    </row>
    <row r="8668" spans="13:28" s="308" customFormat="1" x14ac:dyDescent="0.2">
      <c r="M8668" s="309"/>
      <c r="AB8668" s="310"/>
    </row>
    <row r="8669" spans="13:28" s="308" customFormat="1" x14ac:dyDescent="0.2">
      <c r="M8669" s="309"/>
      <c r="AB8669" s="310"/>
    </row>
    <row r="8670" spans="13:28" s="308" customFormat="1" x14ac:dyDescent="0.2">
      <c r="M8670" s="309"/>
      <c r="AB8670" s="310"/>
    </row>
    <row r="8671" spans="13:28" s="308" customFormat="1" x14ac:dyDescent="0.2">
      <c r="M8671" s="309"/>
      <c r="AB8671" s="310"/>
    </row>
    <row r="8672" spans="13:28" s="308" customFormat="1" x14ac:dyDescent="0.2">
      <c r="M8672" s="309"/>
      <c r="AB8672" s="310"/>
    </row>
    <row r="8673" spans="13:28" s="308" customFormat="1" x14ac:dyDescent="0.2">
      <c r="M8673" s="309"/>
      <c r="AB8673" s="310"/>
    </row>
    <row r="8674" spans="13:28" s="308" customFormat="1" x14ac:dyDescent="0.2">
      <c r="M8674" s="309"/>
      <c r="AB8674" s="310"/>
    </row>
    <row r="8675" spans="13:28" s="308" customFormat="1" x14ac:dyDescent="0.2">
      <c r="M8675" s="309"/>
      <c r="AB8675" s="310"/>
    </row>
    <row r="8676" spans="13:28" s="308" customFormat="1" x14ac:dyDescent="0.2">
      <c r="M8676" s="309"/>
      <c r="AB8676" s="310"/>
    </row>
    <row r="8677" spans="13:28" s="308" customFormat="1" x14ac:dyDescent="0.2">
      <c r="M8677" s="309"/>
      <c r="AB8677" s="310"/>
    </row>
    <row r="8678" spans="13:28" s="308" customFormat="1" x14ac:dyDescent="0.2">
      <c r="M8678" s="309"/>
      <c r="AB8678" s="310"/>
    </row>
    <row r="8679" spans="13:28" s="308" customFormat="1" x14ac:dyDescent="0.2">
      <c r="M8679" s="309"/>
      <c r="AB8679" s="310"/>
    </row>
    <row r="8680" spans="13:28" s="308" customFormat="1" x14ac:dyDescent="0.2">
      <c r="M8680" s="309"/>
      <c r="AB8680" s="310"/>
    </row>
    <row r="8681" spans="13:28" s="308" customFormat="1" x14ac:dyDescent="0.2">
      <c r="M8681" s="309"/>
      <c r="AB8681" s="310"/>
    </row>
    <row r="8682" spans="13:28" s="308" customFormat="1" x14ac:dyDescent="0.2">
      <c r="M8682" s="309"/>
      <c r="AB8682" s="310"/>
    </row>
    <row r="8683" spans="13:28" s="308" customFormat="1" x14ac:dyDescent="0.2">
      <c r="M8683" s="309"/>
      <c r="AB8683" s="310"/>
    </row>
    <row r="8684" spans="13:28" s="308" customFormat="1" x14ac:dyDescent="0.2">
      <c r="M8684" s="309"/>
      <c r="AB8684" s="310"/>
    </row>
    <row r="8685" spans="13:28" s="308" customFormat="1" x14ac:dyDescent="0.2">
      <c r="M8685" s="309"/>
      <c r="AB8685" s="310"/>
    </row>
    <row r="8686" spans="13:28" s="308" customFormat="1" x14ac:dyDescent="0.2">
      <c r="M8686" s="309"/>
      <c r="AB8686" s="310"/>
    </row>
    <row r="8687" spans="13:28" s="308" customFormat="1" x14ac:dyDescent="0.2">
      <c r="M8687" s="309"/>
      <c r="AB8687" s="310"/>
    </row>
    <row r="8688" spans="13:28" s="308" customFormat="1" x14ac:dyDescent="0.2">
      <c r="M8688" s="309"/>
      <c r="AB8688" s="310"/>
    </row>
    <row r="8689" spans="13:28" s="308" customFormat="1" x14ac:dyDescent="0.2">
      <c r="M8689" s="309"/>
      <c r="AB8689" s="310"/>
    </row>
    <row r="8690" spans="13:28" s="308" customFormat="1" x14ac:dyDescent="0.2">
      <c r="M8690" s="309"/>
      <c r="AB8690" s="310"/>
    </row>
    <row r="8691" spans="13:28" s="308" customFormat="1" x14ac:dyDescent="0.2">
      <c r="M8691" s="309"/>
      <c r="AB8691" s="310"/>
    </row>
    <row r="8692" spans="13:28" s="308" customFormat="1" x14ac:dyDescent="0.2">
      <c r="M8692" s="309"/>
      <c r="AB8692" s="310"/>
    </row>
    <row r="8693" spans="13:28" s="308" customFormat="1" x14ac:dyDescent="0.2">
      <c r="M8693" s="309"/>
      <c r="AB8693" s="310"/>
    </row>
    <row r="8694" spans="13:28" s="308" customFormat="1" x14ac:dyDescent="0.2">
      <c r="M8694" s="309"/>
      <c r="AB8694" s="310"/>
    </row>
    <row r="8695" spans="13:28" s="308" customFormat="1" x14ac:dyDescent="0.2">
      <c r="M8695" s="309"/>
      <c r="AB8695" s="310"/>
    </row>
    <row r="8696" spans="13:28" s="308" customFormat="1" x14ac:dyDescent="0.2">
      <c r="M8696" s="309"/>
      <c r="AB8696" s="310"/>
    </row>
    <row r="8697" spans="13:28" s="308" customFormat="1" x14ac:dyDescent="0.2">
      <c r="M8697" s="309"/>
      <c r="AB8697" s="310"/>
    </row>
    <row r="8698" spans="13:28" s="308" customFormat="1" x14ac:dyDescent="0.2">
      <c r="M8698" s="309"/>
      <c r="AB8698" s="310"/>
    </row>
    <row r="8699" spans="13:28" s="308" customFormat="1" x14ac:dyDescent="0.2">
      <c r="M8699" s="309"/>
      <c r="AB8699" s="310"/>
    </row>
    <row r="8700" spans="13:28" s="308" customFormat="1" x14ac:dyDescent="0.2">
      <c r="M8700" s="309"/>
      <c r="AB8700" s="310"/>
    </row>
    <row r="8701" spans="13:28" s="308" customFormat="1" x14ac:dyDescent="0.2">
      <c r="M8701" s="309"/>
      <c r="AB8701" s="310"/>
    </row>
    <row r="8702" spans="13:28" s="308" customFormat="1" x14ac:dyDescent="0.2">
      <c r="M8702" s="309"/>
      <c r="AB8702" s="310"/>
    </row>
    <row r="8703" spans="13:28" s="308" customFormat="1" x14ac:dyDescent="0.2">
      <c r="M8703" s="309"/>
      <c r="AB8703" s="310"/>
    </row>
    <row r="8704" spans="13:28" s="308" customFormat="1" x14ac:dyDescent="0.2">
      <c r="M8704" s="309"/>
      <c r="AB8704" s="310"/>
    </row>
    <row r="8705" spans="13:28" s="308" customFormat="1" x14ac:dyDescent="0.2">
      <c r="M8705" s="309"/>
      <c r="AB8705" s="310"/>
    </row>
    <row r="8706" spans="13:28" s="308" customFormat="1" x14ac:dyDescent="0.2">
      <c r="M8706" s="309"/>
      <c r="AB8706" s="310"/>
    </row>
    <row r="8707" spans="13:28" s="308" customFormat="1" x14ac:dyDescent="0.2">
      <c r="M8707" s="309"/>
      <c r="AB8707" s="310"/>
    </row>
    <row r="8708" spans="13:28" s="308" customFormat="1" x14ac:dyDescent="0.2">
      <c r="M8708" s="309"/>
      <c r="AB8708" s="310"/>
    </row>
    <row r="8709" spans="13:28" s="308" customFormat="1" x14ac:dyDescent="0.2">
      <c r="M8709" s="309"/>
      <c r="AB8709" s="310"/>
    </row>
    <row r="8710" spans="13:28" s="308" customFormat="1" x14ac:dyDescent="0.2">
      <c r="M8710" s="309"/>
      <c r="AB8710" s="310"/>
    </row>
    <row r="8711" spans="13:28" s="308" customFormat="1" x14ac:dyDescent="0.2">
      <c r="M8711" s="309"/>
      <c r="AB8711" s="310"/>
    </row>
    <row r="8712" spans="13:28" s="308" customFormat="1" x14ac:dyDescent="0.2">
      <c r="M8712" s="309"/>
      <c r="AB8712" s="310"/>
    </row>
    <row r="8713" spans="13:28" s="308" customFormat="1" x14ac:dyDescent="0.2">
      <c r="M8713" s="309"/>
      <c r="AB8713" s="310"/>
    </row>
    <row r="8714" spans="13:28" s="308" customFormat="1" x14ac:dyDescent="0.2">
      <c r="M8714" s="309"/>
      <c r="AB8714" s="310"/>
    </row>
    <row r="8715" spans="13:28" s="308" customFormat="1" x14ac:dyDescent="0.2">
      <c r="M8715" s="309"/>
      <c r="AB8715" s="310"/>
    </row>
    <row r="8716" spans="13:28" s="308" customFormat="1" x14ac:dyDescent="0.2">
      <c r="M8716" s="309"/>
      <c r="AB8716" s="310"/>
    </row>
    <row r="8717" spans="13:28" s="308" customFormat="1" x14ac:dyDescent="0.2">
      <c r="M8717" s="309"/>
      <c r="AB8717" s="310"/>
    </row>
    <row r="8718" spans="13:28" s="308" customFormat="1" x14ac:dyDescent="0.2">
      <c r="M8718" s="309"/>
      <c r="AB8718" s="310"/>
    </row>
    <row r="8719" spans="13:28" s="308" customFormat="1" x14ac:dyDescent="0.2">
      <c r="M8719" s="309"/>
      <c r="AB8719" s="310"/>
    </row>
    <row r="8720" spans="13:28" s="308" customFormat="1" x14ac:dyDescent="0.2">
      <c r="M8720" s="309"/>
      <c r="AB8720" s="310"/>
    </row>
    <row r="8721" spans="13:28" s="308" customFormat="1" x14ac:dyDescent="0.2">
      <c r="M8721" s="309"/>
      <c r="AB8721" s="310"/>
    </row>
    <row r="8722" spans="13:28" s="308" customFormat="1" x14ac:dyDescent="0.2">
      <c r="M8722" s="309"/>
      <c r="AB8722" s="310"/>
    </row>
    <row r="8723" spans="13:28" s="308" customFormat="1" x14ac:dyDescent="0.2">
      <c r="M8723" s="309"/>
      <c r="AB8723" s="310"/>
    </row>
    <row r="8724" spans="13:28" s="308" customFormat="1" x14ac:dyDescent="0.2">
      <c r="M8724" s="309"/>
      <c r="AB8724" s="310"/>
    </row>
    <row r="8725" spans="13:28" s="308" customFormat="1" x14ac:dyDescent="0.2">
      <c r="M8725" s="309"/>
      <c r="AB8725" s="310"/>
    </row>
    <row r="8726" spans="13:28" s="308" customFormat="1" x14ac:dyDescent="0.2">
      <c r="M8726" s="309"/>
      <c r="AB8726" s="310"/>
    </row>
    <row r="8727" spans="13:28" s="308" customFormat="1" x14ac:dyDescent="0.2">
      <c r="M8727" s="309"/>
      <c r="AB8727" s="310"/>
    </row>
    <row r="8728" spans="13:28" s="308" customFormat="1" x14ac:dyDescent="0.2">
      <c r="M8728" s="309"/>
      <c r="AB8728" s="310"/>
    </row>
    <row r="8729" spans="13:28" s="308" customFormat="1" x14ac:dyDescent="0.2">
      <c r="M8729" s="309"/>
      <c r="AB8729" s="310"/>
    </row>
    <row r="8730" spans="13:28" s="308" customFormat="1" x14ac:dyDescent="0.2">
      <c r="M8730" s="309"/>
      <c r="AB8730" s="310"/>
    </row>
    <row r="8731" spans="13:28" s="308" customFormat="1" x14ac:dyDescent="0.2">
      <c r="M8731" s="309"/>
      <c r="AB8731" s="310"/>
    </row>
    <row r="8732" spans="13:28" s="308" customFormat="1" x14ac:dyDescent="0.2">
      <c r="M8732" s="309"/>
      <c r="AB8732" s="310"/>
    </row>
    <row r="8733" spans="13:28" s="308" customFormat="1" x14ac:dyDescent="0.2">
      <c r="M8733" s="309"/>
      <c r="AB8733" s="310"/>
    </row>
    <row r="8734" spans="13:28" s="308" customFormat="1" x14ac:dyDescent="0.2">
      <c r="M8734" s="309"/>
      <c r="AB8734" s="310"/>
    </row>
    <row r="8735" spans="13:28" s="308" customFormat="1" x14ac:dyDescent="0.2">
      <c r="M8735" s="309"/>
      <c r="AB8735" s="310"/>
    </row>
    <row r="8736" spans="13:28" s="308" customFormat="1" x14ac:dyDescent="0.2">
      <c r="M8736" s="309"/>
      <c r="AB8736" s="310"/>
    </row>
    <row r="8737" spans="13:28" s="308" customFormat="1" x14ac:dyDescent="0.2">
      <c r="M8737" s="309"/>
      <c r="AB8737" s="310"/>
    </row>
    <row r="8738" spans="13:28" s="308" customFormat="1" x14ac:dyDescent="0.2">
      <c r="M8738" s="309"/>
      <c r="AB8738" s="310"/>
    </row>
    <row r="8739" spans="13:28" s="308" customFormat="1" x14ac:dyDescent="0.2">
      <c r="M8739" s="309"/>
      <c r="AB8739" s="310"/>
    </row>
    <row r="8740" spans="13:28" s="308" customFormat="1" x14ac:dyDescent="0.2">
      <c r="M8740" s="309"/>
      <c r="AB8740" s="310"/>
    </row>
    <row r="8741" spans="13:28" s="308" customFormat="1" x14ac:dyDescent="0.2">
      <c r="M8741" s="309"/>
      <c r="AB8741" s="310"/>
    </row>
    <row r="8742" spans="13:28" s="308" customFormat="1" x14ac:dyDescent="0.2">
      <c r="M8742" s="309"/>
      <c r="AB8742" s="310"/>
    </row>
    <row r="8743" spans="13:28" s="308" customFormat="1" x14ac:dyDescent="0.2">
      <c r="M8743" s="309"/>
      <c r="AB8743" s="310"/>
    </row>
    <row r="8744" spans="13:28" s="308" customFormat="1" x14ac:dyDescent="0.2">
      <c r="M8744" s="309"/>
      <c r="AB8744" s="310"/>
    </row>
    <row r="8745" spans="13:28" s="308" customFormat="1" x14ac:dyDescent="0.2">
      <c r="M8745" s="309"/>
      <c r="AB8745" s="310"/>
    </row>
    <row r="8746" spans="13:28" s="308" customFormat="1" x14ac:dyDescent="0.2">
      <c r="M8746" s="309"/>
      <c r="AB8746" s="310"/>
    </row>
    <row r="8747" spans="13:28" s="308" customFormat="1" x14ac:dyDescent="0.2">
      <c r="M8747" s="309"/>
      <c r="AB8747" s="310"/>
    </row>
    <row r="8748" spans="13:28" s="308" customFormat="1" x14ac:dyDescent="0.2">
      <c r="M8748" s="309"/>
      <c r="AB8748" s="310"/>
    </row>
    <row r="8749" spans="13:28" s="308" customFormat="1" x14ac:dyDescent="0.2">
      <c r="M8749" s="309"/>
      <c r="AB8749" s="310"/>
    </row>
    <row r="8750" spans="13:28" s="308" customFormat="1" x14ac:dyDescent="0.2">
      <c r="M8750" s="309"/>
      <c r="AB8750" s="310"/>
    </row>
    <row r="8751" spans="13:28" s="308" customFormat="1" x14ac:dyDescent="0.2">
      <c r="M8751" s="309"/>
      <c r="AB8751" s="310"/>
    </row>
    <row r="8752" spans="13:28" s="308" customFormat="1" x14ac:dyDescent="0.2">
      <c r="M8752" s="309"/>
      <c r="AB8752" s="310"/>
    </row>
    <row r="8753" spans="13:28" s="308" customFormat="1" x14ac:dyDescent="0.2">
      <c r="M8753" s="309"/>
      <c r="AB8753" s="310"/>
    </row>
    <row r="8754" spans="13:28" s="308" customFormat="1" x14ac:dyDescent="0.2">
      <c r="M8754" s="309"/>
      <c r="AB8754" s="310"/>
    </row>
    <row r="8755" spans="13:28" s="308" customFormat="1" x14ac:dyDescent="0.2">
      <c r="M8755" s="309"/>
      <c r="AB8755" s="310"/>
    </row>
    <row r="8756" spans="13:28" s="308" customFormat="1" x14ac:dyDescent="0.2">
      <c r="M8756" s="309"/>
      <c r="AB8756" s="310"/>
    </row>
    <row r="8757" spans="13:28" s="308" customFormat="1" x14ac:dyDescent="0.2">
      <c r="M8757" s="309"/>
      <c r="AB8757" s="310"/>
    </row>
    <row r="8758" spans="13:28" s="308" customFormat="1" x14ac:dyDescent="0.2">
      <c r="M8758" s="309"/>
      <c r="AB8758" s="310"/>
    </row>
    <row r="8759" spans="13:28" s="308" customFormat="1" x14ac:dyDescent="0.2">
      <c r="M8759" s="309"/>
      <c r="AB8759" s="310"/>
    </row>
    <row r="8760" spans="13:28" s="308" customFormat="1" x14ac:dyDescent="0.2">
      <c r="M8760" s="309"/>
      <c r="AB8760" s="310"/>
    </row>
    <row r="8761" spans="13:28" s="308" customFormat="1" x14ac:dyDescent="0.2">
      <c r="M8761" s="309"/>
      <c r="AB8761" s="310"/>
    </row>
    <row r="8762" spans="13:28" s="308" customFormat="1" x14ac:dyDescent="0.2">
      <c r="M8762" s="309"/>
      <c r="AB8762" s="310"/>
    </row>
    <row r="8763" spans="13:28" s="308" customFormat="1" x14ac:dyDescent="0.2">
      <c r="M8763" s="309"/>
      <c r="AB8763" s="310"/>
    </row>
    <row r="8764" spans="13:28" s="308" customFormat="1" x14ac:dyDescent="0.2">
      <c r="M8764" s="309"/>
      <c r="AB8764" s="310"/>
    </row>
    <row r="8765" spans="13:28" s="308" customFormat="1" x14ac:dyDescent="0.2">
      <c r="M8765" s="309"/>
      <c r="AB8765" s="310"/>
    </row>
    <row r="8766" spans="13:28" s="308" customFormat="1" x14ac:dyDescent="0.2">
      <c r="M8766" s="309"/>
      <c r="AB8766" s="310"/>
    </row>
    <row r="8767" spans="13:28" s="308" customFormat="1" x14ac:dyDescent="0.2">
      <c r="M8767" s="309"/>
      <c r="AB8767" s="310"/>
    </row>
    <row r="8768" spans="13:28" s="308" customFormat="1" x14ac:dyDescent="0.2">
      <c r="M8768" s="309"/>
      <c r="AB8768" s="310"/>
    </row>
    <row r="8769" spans="13:28" s="308" customFormat="1" x14ac:dyDescent="0.2">
      <c r="M8769" s="309"/>
      <c r="AB8769" s="310"/>
    </row>
    <row r="8770" spans="13:28" s="308" customFormat="1" x14ac:dyDescent="0.2">
      <c r="M8770" s="309"/>
      <c r="AB8770" s="310"/>
    </row>
    <row r="8771" spans="13:28" s="308" customFormat="1" x14ac:dyDescent="0.2">
      <c r="M8771" s="309"/>
      <c r="AB8771" s="310"/>
    </row>
    <row r="8772" spans="13:28" s="308" customFormat="1" x14ac:dyDescent="0.2">
      <c r="M8772" s="309"/>
      <c r="AB8772" s="310"/>
    </row>
    <row r="8773" spans="13:28" s="308" customFormat="1" x14ac:dyDescent="0.2">
      <c r="M8773" s="309"/>
      <c r="AB8773" s="310"/>
    </row>
    <row r="8774" spans="13:28" s="308" customFormat="1" x14ac:dyDescent="0.2">
      <c r="M8774" s="309"/>
      <c r="AB8774" s="310"/>
    </row>
    <row r="8775" spans="13:28" s="308" customFormat="1" x14ac:dyDescent="0.2">
      <c r="M8775" s="309"/>
      <c r="AB8775" s="310"/>
    </row>
    <row r="8776" spans="13:28" s="308" customFormat="1" x14ac:dyDescent="0.2">
      <c r="M8776" s="309"/>
      <c r="AB8776" s="310"/>
    </row>
    <row r="8777" spans="13:28" s="308" customFormat="1" x14ac:dyDescent="0.2">
      <c r="M8777" s="309"/>
      <c r="AB8777" s="310"/>
    </row>
    <row r="8778" spans="13:28" s="308" customFormat="1" x14ac:dyDescent="0.2">
      <c r="M8778" s="309"/>
      <c r="AB8778" s="310"/>
    </row>
    <row r="8779" spans="13:28" s="308" customFormat="1" x14ac:dyDescent="0.2">
      <c r="M8779" s="309"/>
      <c r="AB8779" s="310"/>
    </row>
    <row r="8780" spans="13:28" s="308" customFormat="1" x14ac:dyDescent="0.2">
      <c r="M8780" s="309"/>
      <c r="AB8780" s="310"/>
    </row>
    <row r="8781" spans="13:28" s="308" customFormat="1" x14ac:dyDescent="0.2">
      <c r="M8781" s="309"/>
      <c r="AB8781" s="310"/>
    </row>
    <row r="8782" spans="13:28" s="308" customFormat="1" x14ac:dyDescent="0.2">
      <c r="M8782" s="309"/>
      <c r="AB8782" s="310"/>
    </row>
    <row r="8783" spans="13:28" s="308" customFormat="1" x14ac:dyDescent="0.2">
      <c r="M8783" s="309"/>
      <c r="AB8783" s="310"/>
    </row>
    <row r="8784" spans="13:28" s="308" customFormat="1" x14ac:dyDescent="0.2">
      <c r="M8784" s="309"/>
      <c r="AB8784" s="310"/>
    </row>
    <row r="8785" spans="13:28" s="308" customFormat="1" x14ac:dyDescent="0.2">
      <c r="M8785" s="309"/>
      <c r="AB8785" s="310"/>
    </row>
    <row r="8786" spans="13:28" s="308" customFormat="1" x14ac:dyDescent="0.2">
      <c r="M8786" s="309"/>
      <c r="AB8786" s="310"/>
    </row>
    <row r="8787" spans="13:28" s="308" customFormat="1" x14ac:dyDescent="0.2">
      <c r="M8787" s="309"/>
      <c r="AB8787" s="310"/>
    </row>
    <row r="8788" spans="13:28" s="308" customFormat="1" x14ac:dyDescent="0.2">
      <c r="M8788" s="309"/>
      <c r="AB8788" s="310"/>
    </row>
    <row r="8789" spans="13:28" s="308" customFormat="1" x14ac:dyDescent="0.2">
      <c r="M8789" s="309"/>
      <c r="AB8789" s="310"/>
    </row>
    <row r="8790" spans="13:28" s="308" customFormat="1" x14ac:dyDescent="0.2">
      <c r="M8790" s="309"/>
      <c r="AB8790" s="310"/>
    </row>
    <row r="8791" spans="13:28" s="308" customFormat="1" x14ac:dyDescent="0.2">
      <c r="M8791" s="309"/>
      <c r="AB8791" s="310"/>
    </row>
    <row r="8792" spans="13:28" s="308" customFormat="1" x14ac:dyDescent="0.2">
      <c r="M8792" s="309"/>
      <c r="AB8792" s="310"/>
    </row>
    <row r="8793" spans="13:28" s="308" customFormat="1" x14ac:dyDescent="0.2">
      <c r="M8793" s="309"/>
      <c r="AB8793" s="310"/>
    </row>
    <row r="8794" spans="13:28" s="308" customFormat="1" x14ac:dyDescent="0.2">
      <c r="M8794" s="309"/>
      <c r="AB8794" s="310"/>
    </row>
    <row r="8795" spans="13:28" s="308" customFormat="1" x14ac:dyDescent="0.2">
      <c r="M8795" s="309"/>
      <c r="AB8795" s="310"/>
    </row>
    <row r="8796" spans="13:28" s="308" customFormat="1" x14ac:dyDescent="0.2">
      <c r="M8796" s="309"/>
      <c r="AB8796" s="310"/>
    </row>
    <row r="8797" spans="13:28" s="308" customFormat="1" x14ac:dyDescent="0.2">
      <c r="M8797" s="309"/>
      <c r="AB8797" s="310"/>
    </row>
    <row r="8798" spans="13:28" s="308" customFormat="1" x14ac:dyDescent="0.2">
      <c r="M8798" s="309"/>
      <c r="AB8798" s="310"/>
    </row>
    <row r="8799" spans="13:28" s="308" customFormat="1" x14ac:dyDescent="0.2">
      <c r="M8799" s="309"/>
      <c r="AB8799" s="310"/>
    </row>
    <row r="8800" spans="13:28" s="308" customFormat="1" x14ac:dyDescent="0.2">
      <c r="M8800" s="309"/>
      <c r="AB8800" s="310"/>
    </row>
    <row r="8801" spans="13:28" s="308" customFormat="1" x14ac:dyDescent="0.2">
      <c r="M8801" s="309"/>
      <c r="AB8801" s="310"/>
    </row>
    <row r="8802" spans="13:28" s="308" customFormat="1" x14ac:dyDescent="0.2">
      <c r="M8802" s="309"/>
      <c r="AB8802" s="310"/>
    </row>
    <row r="8803" spans="13:28" s="308" customFormat="1" x14ac:dyDescent="0.2">
      <c r="M8803" s="309"/>
      <c r="AB8803" s="310"/>
    </row>
    <row r="8804" spans="13:28" s="308" customFormat="1" x14ac:dyDescent="0.2">
      <c r="M8804" s="309"/>
      <c r="AB8804" s="310"/>
    </row>
    <row r="8805" spans="13:28" s="308" customFormat="1" x14ac:dyDescent="0.2">
      <c r="M8805" s="309"/>
      <c r="AB8805" s="310"/>
    </row>
    <row r="8806" spans="13:28" s="308" customFormat="1" x14ac:dyDescent="0.2">
      <c r="M8806" s="309"/>
      <c r="AB8806" s="310"/>
    </row>
    <row r="8807" spans="13:28" s="308" customFormat="1" x14ac:dyDescent="0.2">
      <c r="M8807" s="309"/>
      <c r="AB8807" s="310"/>
    </row>
    <row r="8808" spans="13:28" s="308" customFormat="1" x14ac:dyDescent="0.2">
      <c r="M8808" s="309"/>
      <c r="AB8808" s="310"/>
    </row>
    <row r="8809" spans="13:28" s="308" customFormat="1" x14ac:dyDescent="0.2">
      <c r="M8809" s="309"/>
      <c r="AB8809" s="310"/>
    </row>
    <row r="8810" spans="13:28" s="308" customFormat="1" x14ac:dyDescent="0.2">
      <c r="M8810" s="309"/>
      <c r="AB8810" s="310"/>
    </row>
    <row r="8811" spans="13:28" s="308" customFormat="1" x14ac:dyDescent="0.2">
      <c r="M8811" s="309"/>
      <c r="AB8811" s="310"/>
    </row>
    <row r="8812" spans="13:28" s="308" customFormat="1" x14ac:dyDescent="0.2">
      <c r="M8812" s="309"/>
      <c r="AB8812" s="310"/>
    </row>
    <row r="8813" spans="13:28" s="308" customFormat="1" x14ac:dyDescent="0.2">
      <c r="M8813" s="309"/>
      <c r="AB8813" s="310"/>
    </row>
    <row r="8814" spans="13:28" s="308" customFormat="1" x14ac:dyDescent="0.2">
      <c r="M8814" s="309"/>
      <c r="AB8814" s="310"/>
    </row>
    <row r="8815" spans="13:28" s="308" customFormat="1" x14ac:dyDescent="0.2">
      <c r="M8815" s="309"/>
      <c r="AB8815" s="310"/>
    </row>
    <row r="8816" spans="13:28" s="308" customFormat="1" x14ac:dyDescent="0.2">
      <c r="M8816" s="309"/>
      <c r="AB8816" s="310"/>
    </row>
    <row r="8817" spans="13:28" s="308" customFormat="1" x14ac:dyDescent="0.2">
      <c r="M8817" s="309"/>
      <c r="AB8817" s="310"/>
    </row>
    <row r="8818" spans="13:28" s="308" customFormat="1" x14ac:dyDescent="0.2">
      <c r="M8818" s="309"/>
      <c r="AB8818" s="310"/>
    </row>
    <row r="8819" spans="13:28" s="308" customFormat="1" x14ac:dyDescent="0.2">
      <c r="M8819" s="309"/>
      <c r="AB8819" s="310"/>
    </row>
    <row r="8820" spans="13:28" s="308" customFormat="1" x14ac:dyDescent="0.2">
      <c r="M8820" s="309"/>
      <c r="AB8820" s="310"/>
    </row>
    <row r="8821" spans="13:28" s="308" customFormat="1" x14ac:dyDescent="0.2">
      <c r="M8821" s="309"/>
      <c r="AB8821" s="310"/>
    </row>
    <row r="8822" spans="13:28" s="308" customFormat="1" x14ac:dyDescent="0.2">
      <c r="M8822" s="309"/>
      <c r="AB8822" s="310"/>
    </row>
    <row r="8823" spans="13:28" s="308" customFormat="1" x14ac:dyDescent="0.2">
      <c r="M8823" s="309"/>
      <c r="AB8823" s="310"/>
    </row>
    <row r="8824" spans="13:28" s="308" customFormat="1" x14ac:dyDescent="0.2">
      <c r="M8824" s="309"/>
      <c r="AB8824" s="310"/>
    </row>
    <row r="8825" spans="13:28" s="308" customFormat="1" x14ac:dyDescent="0.2">
      <c r="M8825" s="309"/>
      <c r="AB8825" s="310"/>
    </row>
    <row r="8826" spans="13:28" s="308" customFormat="1" x14ac:dyDescent="0.2">
      <c r="M8826" s="309"/>
      <c r="AB8826" s="310"/>
    </row>
    <row r="8827" spans="13:28" s="308" customFormat="1" x14ac:dyDescent="0.2">
      <c r="M8827" s="309"/>
      <c r="AB8827" s="310"/>
    </row>
    <row r="8828" spans="13:28" s="308" customFormat="1" x14ac:dyDescent="0.2">
      <c r="M8828" s="309"/>
      <c r="AB8828" s="310"/>
    </row>
    <row r="8829" spans="13:28" s="308" customFormat="1" x14ac:dyDescent="0.2">
      <c r="M8829" s="309"/>
      <c r="AB8829" s="310"/>
    </row>
    <row r="8830" spans="13:28" s="308" customFormat="1" x14ac:dyDescent="0.2">
      <c r="M8830" s="309"/>
      <c r="AB8830" s="310"/>
    </row>
    <row r="8831" spans="13:28" s="308" customFormat="1" x14ac:dyDescent="0.2">
      <c r="M8831" s="309"/>
      <c r="AB8831" s="310"/>
    </row>
    <row r="8832" spans="13:28" s="308" customFormat="1" x14ac:dyDescent="0.2">
      <c r="M8832" s="309"/>
      <c r="AB8832" s="310"/>
    </row>
    <row r="8833" spans="13:28" s="308" customFormat="1" x14ac:dyDescent="0.2">
      <c r="M8833" s="309"/>
      <c r="AB8833" s="310"/>
    </row>
    <row r="8834" spans="13:28" s="308" customFormat="1" x14ac:dyDescent="0.2">
      <c r="M8834" s="309"/>
      <c r="AB8834" s="310"/>
    </row>
    <row r="8835" spans="13:28" s="308" customFormat="1" x14ac:dyDescent="0.2">
      <c r="M8835" s="309"/>
      <c r="AB8835" s="310"/>
    </row>
    <row r="8836" spans="13:28" s="308" customFormat="1" x14ac:dyDescent="0.2">
      <c r="M8836" s="309"/>
      <c r="AB8836" s="310"/>
    </row>
    <row r="8837" spans="13:28" s="308" customFormat="1" x14ac:dyDescent="0.2">
      <c r="M8837" s="309"/>
      <c r="AB8837" s="310"/>
    </row>
    <row r="8838" spans="13:28" s="308" customFormat="1" x14ac:dyDescent="0.2">
      <c r="M8838" s="309"/>
      <c r="AB8838" s="310"/>
    </row>
    <row r="8839" spans="13:28" s="308" customFormat="1" x14ac:dyDescent="0.2">
      <c r="M8839" s="309"/>
      <c r="AB8839" s="310"/>
    </row>
    <row r="8840" spans="13:28" s="308" customFormat="1" x14ac:dyDescent="0.2">
      <c r="M8840" s="309"/>
      <c r="AB8840" s="310"/>
    </row>
    <row r="8841" spans="13:28" s="308" customFormat="1" x14ac:dyDescent="0.2">
      <c r="M8841" s="309"/>
      <c r="AB8841" s="310"/>
    </row>
    <row r="8842" spans="13:28" s="308" customFormat="1" x14ac:dyDescent="0.2">
      <c r="M8842" s="309"/>
      <c r="AB8842" s="310"/>
    </row>
    <row r="8843" spans="13:28" s="308" customFormat="1" x14ac:dyDescent="0.2">
      <c r="M8843" s="309"/>
      <c r="AB8843" s="310"/>
    </row>
    <row r="8844" spans="13:28" s="308" customFormat="1" x14ac:dyDescent="0.2">
      <c r="M8844" s="309"/>
      <c r="AB8844" s="310"/>
    </row>
    <row r="8845" spans="13:28" s="308" customFormat="1" x14ac:dyDescent="0.2">
      <c r="M8845" s="309"/>
      <c r="AB8845" s="310"/>
    </row>
    <row r="8846" spans="13:28" s="308" customFormat="1" x14ac:dyDescent="0.2">
      <c r="M8846" s="309"/>
      <c r="AB8846" s="310"/>
    </row>
    <row r="8847" spans="13:28" s="308" customFormat="1" x14ac:dyDescent="0.2">
      <c r="M8847" s="309"/>
      <c r="AB8847" s="310"/>
    </row>
    <row r="8848" spans="13:28" s="308" customFormat="1" x14ac:dyDescent="0.2">
      <c r="M8848" s="309"/>
      <c r="AB8848" s="310"/>
    </row>
    <row r="8849" spans="13:28" s="308" customFormat="1" x14ac:dyDescent="0.2">
      <c r="M8849" s="309"/>
      <c r="AB8849" s="310"/>
    </row>
    <row r="8850" spans="13:28" s="308" customFormat="1" x14ac:dyDescent="0.2">
      <c r="M8850" s="309"/>
      <c r="AB8850" s="310"/>
    </row>
    <row r="8851" spans="13:28" s="308" customFormat="1" x14ac:dyDescent="0.2">
      <c r="M8851" s="309"/>
      <c r="AB8851" s="310"/>
    </row>
    <row r="8852" spans="13:28" s="308" customFormat="1" x14ac:dyDescent="0.2">
      <c r="M8852" s="309"/>
      <c r="AB8852" s="310"/>
    </row>
    <row r="8853" spans="13:28" s="308" customFormat="1" x14ac:dyDescent="0.2">
      <c r="M8853" s="309"/>
      <c r="AB8853" s="310"/>
    </row>
    <row r="8854" spans="13:28" s="308" customFormat="1" x14ac:dyDescent="0.2">
      <c r="M8854" s="309"/>
      <c r="AB8854" s="310"/>
    </row>
    <row r="8855" spans="13:28" s="308" customFormat="1" x14ac:dyDescent="0.2">
      <c r="M8855" s="309"/>
      <c r="AB8855" s="310"/>
    </row>
    <row r="8856" spans="13:28" s="308" customFormat="1" x14ac:dyDescent="0.2">
      <c r="M8856" s="309"/>
      <c r="AB8856" s="310"/>
    </row>
    <row r="8857" spans="13:28" s="308" customFormat="1" x14ac:dyDescent="0.2">
      <c r="M8857" s="309"/>
      <c r="AB8857" s="310"/>
    </row>
    <row r="8858" spans="13:28" s="308" customFormat="1" x14ac:dyDescent="0.2">
      <c r="M8858" s="309"/>
      <c r="AB8858" s="310"/>
    </row>
    <row r="8859" spans="13:28" s="308" customFormat="1" x14ac:dyDescent="0.2">
      <c r="M8859" s="309"/>
      <c r="AB8859" s="310"/>
    </row>
    <row r="8860" spans="13:28" s="308" customFormat="1" x14ac:dyDescent="0.2">
      <c r="M8860" s="309"/>
      <c r="AB8860" s="310"/>
    </row>
    <row r="8861" spans="13:28" s="308" customFormat="1" x14ac:dyDescent="0.2">
      <c r="M8861" s="309"/>
      <c r="AB8861" s="310"/>
    </row>
    <row r="8862" spans="13:28" s="308" customFormat="1" x14ac:dyDescent="0.2">
      <c r="M8862" s="309"/>
      <c r="AB8862" s="310"/>
    </row>
    <row r="8863" spans="13:28" s="308" customFormat="1" x14ac:dyDescent="0.2">
      <c r="M8863" s="309"/>
      <c r="AB8863" s="310"/>
    </row>
    <row r="8864" spans="13:28" s="308" customFormat="1" x14ac:dyDescent="0.2">
      <c r="M8864" s="309"/>
      <c r="AB8864" s="310"/>
    </row>
    <row r="8865" spans="13:28" s="308" customFormat="1" x14ac:dyDescent="0.2">
      <c r="M8865" s="309"/>
      <c r="AB8865" s="310"/>
    </row>
    <row r="8866" spans="13:28" s="308" customFormat="1" x14ac:dyDescent="0.2">
      <c r="M8866" s="309"/>
      <c r="AB8866" s="310"/>
    </row>
    <row r="8867" spans="13:28" s="308" customFormat="1" x14ac:dyDescent="0.2">
      <c r="M8867" s="309"/>
      <c r="AB8867" s="310"/>
    </row>
    <row r="8868" spans="13:28" s="308" customFormat="1" x14ac:dyDescent="0.2">
      <c r="M8868" s="309"/>
      <c r="AB8868" s="310"/>
    </row>
    <row r="8869" spans="13:28" s="308" customFormat="1" x14ac:dyDescent="0.2">
      <c r="M8869" s="309"/>
      <c r="AB8869" s="310"/>
    </row>
    <row r="8870" spans="13:28" s="308" customFormat="1" x14ac:dyDescent="0.2">
      <c r="M8870" s="309"/>
      <c r="AB8870" s="310"/>
    </row>
    <row r="8871" spans="13:28" s="308" customFormat="1" x14ac:dyDescent="0.2">
      <c r="M8871" s="309"/>
      <c r="AB8871" s="310"/>
    </row>
    <row r="8872" spans="13:28" s="308" customFormat="1" x14ac:dyDescent="0.2">
      <c r="M8872" s="309"/>
      <c r="AB8872" s="310"/>
    </row>
    <row r="8873" spans="13:28" s="308" customFormat="1" x14ac:dyDescent="0.2">
      <c r="M8873" s="309"/>
      <c r="AB8873" s="310"/>
    </row>
    <row r="8874" spans="13:28" s="308" customFormat="1" x14ac:dyDescent="0.2">
      <c r="M8874" s="309"/>
      <c r="AB8874" s="310"/>
    </row>
    <row r="8875" spans="13:28" s="308" customFormat="1" x14ac:dyDescent="0.2">
      <c r="M8875" s="309"/>
      <c r="AB8875" s="310"/>
    </row>
    <row r="8876" spans="13:28" s="308" customFormat="1" x14ac:dyDescent="0.2">
      <c r="M8876" s="309"/>
      <c r="AB8876" s="310"/>
    </row>
    <row r="8877" spans="13:28" s="308" customFormat="1" x14ac:dyDescent="0.2">
      <c r="M8877" s="309"/>
      <c r="AB8877" s="310"/>
    </row>
    <row r="8878" spans="13:28" s="308" customFormat="1" x14ac:dyDescent="0.2">
      <c r="M8878" s="309"/>
      <c r="AB8878" s="310"/>
    </row>
    <row r="8879" spans="13:28" s="308" customFormat="1" x14ac:dyDescent="0.2">
      <c r="M8879" s="309"/>
      <c r="AB8879" s="310"/>
    </row>
    <row r="8880" spans="13:28" s="308" customFormat="1" x14ac:dyDescent="0.2">
      <c r="M8880" s="309"/>
      <c r="AB8880" s="310"/>
    </row>
    <row r="8881" spans="13:28" s="308" customFormat="1" x14ac:dyDescent="0.2">
      <c r="M8881" s="309"/>
      <c r="AB8881" s="310"/>
    </row>
    <row r="8882" spans="13:28" s="308" customFormat="1" x14ac:dyDescent="0.2">
      <c r="M8882" s="309"/>
      <c r="AB8882" s="310"/>
    </row>
    <row r="8883" spans="13:28" s="308" customFormat="1" x14ac:dyDescent="0.2">
      <c r="M8883" s="309"/>
      <c r="AB8883" s="310"/>
    </row>
    <row r="8884" spans="13:28" s="308" customFormat="1" x14ac:dyDescent="0.2">
      <c r="M8884" s="309"/>
      <c r="AB8884" s="310"/>
    </row>
    <row r="8885" spans="13:28" s="308" customFormat="1" x14ac:dyDescent="0.2">
      <c r="M8885" s="309"/>
      <c r="AB8885" s="310"/>
    </row>
    <row r="8886" spans="13:28" s="308" customFormat="1" x14ac:dyDescent="0.2">
      <c r="M8886" s="309"/>
      <c r="AB8886" s="310"/>
    </row>
    <row r="8887" spans="13:28" s="308" customFormat="1" x14ac:dyDescent="0.2">
      <c r="M8887" s="309"/>
      <c r="AB8887" s="310"/>
    </row>
    <row r="8888" spans="13:28" s="308" customFormat="1" x14ac:dyDescent="0.2">
      <c r="M8888" s="309"/>
      <c r="AB8888" s="310"/>
    </row>
    <row r="8889" spans="13:28" s="308" customFormat="1" x14ac:dyDescent="0.2">
      <c r="M8889" s="309"/>
      <c r="AB8889" s="310"/>
    </row>
    <row r="8890" spans="13:28" s="308" customFormat="1" x14ac:dyDescent="0.2">
      <c r="M8890" s="309"/>
      <c r="AB8890" s="310"/>
    </row>
    <row r="8891" spans="13:28" s="308" customFormat="1" x14ac:dyDescent="0.2">
      <c r="M8891" s="309"/>
      <c r="AB8891" s="310"/>
    </row>
    <row r="8892" spans="13:28" s="308" customFormat="1" x14ac:dyDescent="0.2">
      <c r="M8892" s="309"/>
      <c r="AB8892" s="310"/>
    </row>
    <row r="8893" spans="13:28" s="308" customFormat="1" x14ac:dyDescent="0.2">
      <c r="M8893" s="309"/>
      <c r="AB8893" s="310"/>
    </row>
    <row r="8894" spans="13:28" s="308" customFormat="1" x14ac:dyDescent="0.2">
      <c r="M8894" s="309"/>
      <c r="AB8894" s="310"/>
    </row>
    <row r="8895" spans="13:28" s="308" customFormat="1" x14ac:dyDescent="0.2">
      <c r="M8895" s="309"/>
      <c r="AB8895" s="310"/>
    </row>
    <row r="8896" spans="13:28" s="308" customFormat="1" x14ac:dyDescent="0.2">
      <c r="M8896" s="309"/>
      <c r="AB8896" s="310"/>
    </row>
    <row r="8897" spans="13:28" s="308" customFormat="1" x14ac:dyDescent="0.2">
      <c r="M8897" s="309"/>
      <c r="AB8897" s="310"/>
    </row>
    <row r="8898" spans="13:28" s="308" customFormat="1" x14ac:dyDescent="0.2">
      <c r="M8898" s="309"/>
      <c r="AB8898" s="310"/>
    </row>
    <row r="8899" spans="13:28" s="308" customFormat="1" x14ac:dyDescent="0.2">
      <c r="M8899" s="309"/>
      <c r="AB8899" s="310"/>
    </row>
    <row r="8900" spans="13:28" s="308" customFormat="1" x14ac:dyDescent="0.2">
      <c r="M8900" s="309"/>
      <c r="AB8900" s="310"/>
    </row>
    <row r="8901" spans="13:28" s="308" customFormat="1" x14ac:dyDescent="0.2">
      <c r="M8901" s="309"/>
      <c r="AB8901" s="310"/>
    </row>
    <row r="8902" spans="13:28" s="308" customFormat="1" x14ac:dyDescent="0.2">
      <c r="M8902" s="309"/>
      <c r="AB8902" s="310"/>
    </row>
    <row r="8903" spans="13:28" s="308" customFormat="1" x14ac:dyDescent="0.2">
      <c r="M8903" s="309"/>
      <c r="AB8903" s="310"/>
    </row>
    <row r="8904" spans="13:28" s="308" customFormat="1" x14ac:dyDescent="0.2">
      <c r="M8904" s="309"/>
      <c r="AB8904" s="310"/>
    </row>
    <row r="8905" spans="13:28" s="308" customFormat="1" x14ac:dyDescent="0.2">
      <c r="M8905" s="309"/>
      <c r="AB8905" s="310"/>
    </row>
    <row r="8906" spans="13:28" s="308" customFormat="1" x14ac:dyDescent="0.2">
      <c r="M8906" s="309"/>
      <c r="AB8906" s="310"/>
    </row>
    <row r="8907" spans="13:28" s="308" customFormat="1" x14ac:dyDescent="0.2">
      <c r="M8907" s="309"/>
      <c r="AB8907" s="310"/>
    </row>
    <row r="8908" spans="13:28" s="308" customFormat="1" x14ac:dyDescent="0.2">
      <c r="M8908" s="309"/>
      <c r="AB8908" s="310"/>
    </row>
    <row r="8909" spans="13:28" s="308" customFormat="1" x14ac:dyDescent="0.2">
      <c r="M8909" s="309"/>
      <c r="AB8909" s="310"/>
    </row>
    <row r="8910" spans="13:28" s="308" customFormat="1" x14ac:dyDescent="0.2">
      <c r="M8910" s="309"/>
      <c r="AB8910" s="310"/>
    </row>
    <row r="8911" spans="13:28" s="308" customFormat="1" x14ac:dyDescent="0.2">
      <c r="M8911" s="309"/>
      <c r="AB8911" s="310"/>
    </row>
    <row r="8912" spans="13:28" s="308" customFormat="1" x14ac:dyDescent="0.2">
      <c r="M8912" s="309"/>
      <c r="AB8912" s="310"/>
    </row>
    <row r="8913" spans="13:28" s="308" customFormat="1" x14ac:dyDescent="0.2">
      <c r="M8913" s="309"/>
      <c r="AB8913" s="310"/>
    </row>
    <row r="8914" spans="13:28" s="308" customFormat="1" x14ac:dyDescent="0.2">
      <c r="M8914" s="309"/>
      <c r="AB8914" s="310"/>
    </row>
    <row r="8915" spans="13:28" s="308" customFormat="1" x14ac:dyDescent="0.2">
      <c r="M8915" s="309"/>
      <c r="AB8915" s="310"/>
    </row>
    <row r="8916" spans="13:28" s="308" customFormat="1" x14ac:dyDescent="0.2">
      <c r="M8916" s="309"/>
      <c r="AB8916" s="310"/>
    </row>
    <row r="8917" spans="13:28" s="308" customFormat="1" x14ac:dyDescent="0.2">
      <c r="M8917" s="309"/>
      <c r="AB8917" s="310"/>
    </row>
    <row r="8918" spans="13:28" s="308" customFormat="1" x14ac:dyDescent="0.2">
      <c r="M8918" s="309"/>
      <c r="AB8918" s="310"/>
    </row>
    <row r="8919" spans="13:28" s="308" customFormat="1" x14ac:dyDescent="0.2">
      <c r="M8919" s="309"/>
      <c r="AB8919" s="310"/>
    </row>
    <row r="8920" spans="13:28" s="308" customFormat="1" x14ac:dyDescent="0.2">
      <c r="M8920" s="309"/>
      <c r="AB8920" s="310"/>
    </row>
    <row r="8921" spans="13:28" s="308" customFormat="1" x14ac:dyDescent="0.2">
      <c r="M8921" s="309"/>
      <c r="AB8921" s="310"/>
    </row>
    <row r="8922" spans="13:28" s="308" customFormat="1" x14ac:dyDescent="0.2">
      <c r="M8922" s="309"/>
      <c r="AB8922" s="310"/>
    </row>
    <row r="8923" spans="13:28" s="308" customFormat="1" x14ac:dyDescent="0.2">
      <c r="M8923" s="309"/>
      <c r="AB8923" s="310"/>
    </row>
    <row r="8924" spans="13:28" s="308" customFormat="1" x14ac:dyDescent="0.2">
      <c r="M8924" s="309"/>
      <c r="AB8924" s="310"/>
    </row>
    <row r="8925" spans="13:28" s="308" customFormat="1" x14ac:dyDescent="0.2">
      <c r="M8925" s="309"/>
      <c r="AB8925" s="310"/>
    </row>
    <row r="8926" spans="13:28" s="308" customFormat="1" x14ac:dyDescent="0.2">
      <c r="M8926" s="309"/>
      <c r="AB8926" s="310"/>
    </row>
    <row r="8927" spans="13:28" s="308" customFormat="1" x14ac:dyDescent="0.2">
      <c r="M8927" s="309"/>
      <c r="AB8927" s="310"/>
    </row>
    <row r="8928" spans="13:28" s="308" customFormat="1" x14ac:dyDescent="0.2">
      <c r="M8928" s="309"/>
      <c r="AB8928" s="310"/>
    </row>
    <row r="8929" spans="13:28" s="308" customFormat="1" x14ac:dyDescent="0.2">
      <c r="M8929" s="309"/>
      <c r="AB8929" s="310"/>
    </row>
    <row r="8930" spans="13:28" s="308" customFormat="1" x14ac:dyDescent="0.2">
      <c r="M8930" s="309"/>
      <c r="AB8930" s="310"/>
    </row>
    <row r="8931" spans="13:28" s="308" customFormat="1" x14ac:dyDescent="0.2">
      <c r="M8931" s="309"/>
      <c r="AB8931" s="310"/>
    </row>
    <row r="8932" spans="13:28" s="308" customFormat="1" x14ac:dyDescent="0.2">
      <c r="M8932" s="309"/>
      <c r="AB8932" s="310"/>
    </row>
    <row r="8933" spans="13:28" s="308" customFormat="1" x14ac:dyDescent="0.2">
      <c r="M8933" s="309"/>
      <c r="AB8933" s="310"/>
    </row>
    <row r="8934" spans="13:28" s="308" customFormat="1" x14ac:dyDescent="0.2">
      <c r="M8934" s="309"/>
      <c r="AB8934" s="310"/>
    </row>
    <row r="8935" spans="13:28" s="308" customFormat="1" x14ac:dyDescent="0.2">
      <c r="M8935" s="309"/>
      <c r="AB8935" s="310"/>
    </row>
    <row r="8936" spans="13:28" s="308" customFormat="1" x14ac:dyDescent="0.2">
      <c r="M8936" s="309"/>
      <c r="AB8936" s="310"/>
    </row>
    <row r="8937" spans="13:28" s="308" customFormat="1" x14ac:dyDescent="0.2">
      <c r="M8937" s="309"/>
      <c r="AB8937" s="310"/>
    </row>
    <row r="8938" spans="13:28" s="308" customFormat="1" x14ac:dyDescent="0.2">
      <c r="M8938" s="309"/>
      <c r="AB8938" s="310"/>
    </row>
    <row r="8939" spans="13:28" s="308" customFormat="1" x14ac:dyDescent="0.2">
      <c r="M8939" s="309"/>
      <c r="AB8939" s="310"/>
    </row>
    <row r="8940" spans="13:28" s="308" customFormat="1" x14ac:dyDescent="0.2">
      <c r="M8940" s="309"/>
      <c r="AB8940" s="310"/>
    </row>
    <row r="8941" spans="13:28" s="308" customFormat="1" x14ac:dyDescent="0.2">
      <c r="M8941" s="309"/>
      <c r="AB8941" s="310"/>
    </row>
    <row r="8942" spans="13:28" s="308" customFormat="1" x14ac:dyDescent="0.2">
      <c r="M8942" s="309"/>
      <c r="AB8942" s="310"/>
    </row>
    <row r="8943" spans="13:28" s="308" customFormat="1" x14ac:dyDescent="0.2">
      <c r="M8943" s="309"/>
      <c r="AB8943" s="310"/>
    </row>
    <row r="8944" spans="13:28" s="308" customFormat="1" x14ac:dyDescent="0.2">
      <c r="M8944" s="309"/>
      <c r="AB8944" s="310"/>
    </row>
    <row r="8945" spans="13:28" s="308" customFormat="1" x14ac:dyDescent="0.2">
      <c r="M8945" s="309"/>
      <c r="AB8945" s="310"/>
    </row>
    <row r="8946" spans="13:28" s="308" customFormat="1" x14ac:dyDescent="0.2">
      <c r="M8946" s="309"/>
      <c r="AB8946" s="310"/>
    </row>
    <row r="8947" spans="13:28" s="308" customFormat="1" x14ac:dyDescent="0.2">
      <c r="M8947" s="309"/>
      <c r="AB8947" s="310"/>
    </row>
    <row r="8948" spans="13:28" s="308" customFormat="1" x14ac:dyDescent="0.2">
      <c r="M8948" s="309"/>
      <c r="AB8948" s="310"/>
    </row>
    <row r="8949" spans="13:28" s="308" customFormat="1" x14ac:dyDescent="0.2">
      <c r="M8949" s="309"/>
      <c r="AB8949" s="310"/>
    </row>
    <row r="8950" spans="13:28" s="308" customFormat="1" x14ac:dyDescent="0.2">
      <c r="M8950" s="309"/>
      <c r="AB8950" s="310"/>
    </row>
    <row r="8951" spans="13:28" s="308" customFormat="1" x14ac:dyDescent="0.2">
      <c r="M8951" s="309"/>
      <c r="AB8951" s="310"/>
    </row>
    <row r="8952" spans="13:28" s="308" customFormat="1" x14ac:dyDescent="0.2">
      <c r="M8952" s="309"/>
      <c r="AB8952" s="310"/>
    </row>
    <row r="8953" spans="13:28" s="308" customFormat="1" x14ac:dyDescent="0.2">
      <c r="M8953" s="309"/>
      <c r="AB8953" s="310"/>
    </row>
    <row r="8954" spans="13:28" s="308" customFormat="1" x14ac:dyDescent="0.2">
      <c r="M8954" s="309"/>
      <c r="AB8954" s="310"/>
    </row>
    <row r="8955" spans="13:28" s="308" customFormat="1" x14ac:dyDescent="0.2">
      <c r="M8955" s="309"/>
      <c r="AB8955" s="310"/>
    </row>
    <row r="8956" spans="13:28" s="308" customFormat="1" x14ac:dyDescent="0.2">
      <c r="M8956" s="309"/>
      <c r="AB8956" s="310"/>
    </row>
    <row r="8957" spans="13:28" s="308" customFormat="1" x14ac:dyDescent="0.2">
      <c r="M8957" s="309"/>
      <c r="AB8957" s="310"/>
    </row>
    <row r="8958" spans="13:28" s="308" customFormat="1" x14ac:dyDescent="0.2">
      <c r="M8958" s="309"/>
      <c r="AB8958" s="310"/>
    </row>
    <row r="8959" spans="13:28" s="308" customFormat="1" x14ac:dyDescent="0.2">
      <c r="M8959" s="309"/>
      <c r="AB8959" s="310"/>
    </row>
    <row r="8960" spans="13:28" s="308" customFormat="1" x14ac:dyDescent="0.2">
      <c r="M8960" s="309"/>
      <c r="AB8960" s="310"/>
    </row>
    <row r="8961" spans="13:28" s="308" customFormat="1" x14ac:dyDescent="0.2">
      <c r="M8961" s="309"/>
      <c r="AB8961" s="310"/>
    </row>
    <row r="8962" spans="13:28" s="308" customFormat="1" x14ac:dyDescent="0.2">
      <c r="M8962" s="309"/>
      <c r="AB8962" s="310"/>
    </row>
    <row r="8963" spans="13:28" s="308" customFormat="1" x14ac:dyDescent="0.2">
      <c r="M8963" s="309"/>
      <c r="AB8963" s="310"/>
    </row>
    <row r="8964" spans="13:28" s="308" customFormat="1" x14ac:dyDescent="0.2">
      <c r="M8964" s="309"/>
      <c r="AB8964" s="310"/>
    </row>
    <row r="8965" spans="13:28" s="308" customFormat="1" x14ac:dyDescent="0.2">
      <c r="M8965" s="309"/>
      <c r="AB8965" s="310"/>
    </row>
    <row r="8966" spans="13:28" s="308" customFormat="1" x14ac:dyDescent="0.2">
      <c r="M8966" s="309"/>
      <c r="AB8966" s="310"/>
    </row>
    <row r="8967" spans="13:28" s="308" customFormat="1" x14ac:dyDescent="0.2">
      <c r="M8967" s="309"/>
      <c r="AB8967" s="310"/>
    </row>
    <row r="8968" spans="13:28" s="308" customFormat="1" x14ac:dyDescent="0.2">
      <c r="M8968" s="309"/>
      <c r="AB8968" s="310"/>
    </row>
    <row r="8969" spans="13:28" s="308" customFormat="1" x14ac:dyDescent="0.2">
      <c r="M8969" s="309"/>
      <c r="AB8969" s="310"/>
    </row>
    <row r="8970" spans="13:28" s="308" customFormat="1" x14ac:dyDescent="0.2">
      <c r="M8970" s="309"/>
      <c r="AB8970" s="310"/>
    </row>
    <row r="8971" spans="13:28" s="308" customFormat="1" x14ac:dyDescent="0.2">
      <c r="M8971" s="309"/>
      <c r="AB8971" s="310"/>
    </row>
    <row r="8972" spans="13:28" s="308" customFormat="1" x14ac:dyDescent="0.2">
      <c r="M8972" s="309"/>
      <c r="AB8972" s="310"/>
    </row>
    <row r="8973" spans="13:28" s="308" customFormat="1" x14ac:dyDescent="0.2">
      <c r="M8973" s="309"/>
      <c r="AB8973" s="310"/>
    </row>
    <row r="8974" spans="13:28" s="308" customFormat="1" x14ac:dyDescent="0.2">
      <c r="M8974" s="309"/>
      <c r="AB8974" s="310"/>
    </row>
    <row r="8975" spans="13:28" s="308" customFormat="1" x14ac:dyDescent="0.2">
      <c r="M8975" s="309"/>
      <c r="AB8975" s="310"/>
    </row>
    <row r="8976" spans="13:28" s="308" customFormat="1" x14ac:dyDescent="0.2">
      <c r="M8976" s="309"/>
      <c r="AB8976" s="310"/>
    </row>
    <row r="8977" spans="13:28" s="308" customFormat="1" x14ac:dyDescent="0.2">
      <c r="M8977" s="309"/>
      <c r="AB8977" s="310"/>
    </row>
    <row r="8978" spans="13:28" s="308" customFormat="1" x14ac:dyDescent="0.2">
      <c r="M8978" s="309"/>
      <c r="AB8978" s="310"/>
    </row>
    <row r="8979" spans="13:28" s="308" customFormat="1" x14ac:dyDescent="0.2">
      <c r="M8979" s="309"/>
      <c r="AB8979" s="310"/>
    </row>
    <row r="8980" spans="13:28" s="308" customFormat="1" x14ac:dyDescent="0.2">
      <c r="M8980" s="309"/>
      <c r="AB8980" s="310"/>
    </row>
    <row r="8981" spans="13:28" s="308" customFormat="1" x14ac:dyDescent="0.2">
      <c r="M8981" s="309"/>
      <c r="AB8981" s="310"/>
    </row>
    <row r="8982" spans="13:28" s="308" customFormat="1" x14ac:dyDescent="0.2">
      <c r="M8982" s="309"/>
      <c r="AB8982" s="310"/>
    </row>
    <row r="8983" spans="13:28" s="308" customFormat="1" x14ac:dyDescent="0.2">
      <c r="M8983" s="309"/>
      <c r="AB8983" s="310"/>
    </row>
    <row r="8984" spans="13:28" s="308" customFormat="1" x14ac:dyDescent="0.2">
      <c r="M8984" s="309"/>
      <c r="AB8984" s="310"/>
    </row>
    <row r="8985" spans="13:28" s="308" customFormat="1" x14ac:dyDescent="0.2">
      <c r="M8985" s="309"/>
      <c r="AB8985" s="310"/>
    </row>
    <row r="8986" spans="13:28" s="308" customFormat="1" x14ac:dyDescent="0.2">
      <c r="M8986" s="309"/>
      <c r="AB8986" s="310"/>
    </row>
    <row r="8987" spans="13:28" s="308" customFormat="1" x14ac:dyDescent="0.2">
      <c r="M8987" s="309"/>
      <c r="AB8987" s="310"/>
    </row>
    <row r="8988" spans="13:28" s="308" customFormat="1" x14ac:dyDescent="0.2">
      <c r="M8988" s="309"/>
      <c r="AB8988" s="310"/>
    </row>
    <row r="8989" spans="13:28" s="308" customFormat="1" x14ac:dyDescent="0.2">
      <c r="M8989" s="309"/>
      <c r="AB8989" s="310"/>
    </row>
    <row r="8990" spans="13:28" s="308" customFormat="1" x14ac:dyDescent="0.2">
      <c r="M8990" s="309"/>
      <c r="AB8990" s="310"/>
    </row>
    <row r="8991" spans="13:28" s="308" customFormat="1" x14ac:dyDescent="0.2">
      <c r="M8991" s="309"/>
      <c r="AB8991" s="310"/>
    </row>
    <row r="8992" spans="13:28" s="308" customFormat="1" x14ac:dyDescent="0.2">
      <c r="M8992" s="309"/>
      <c r="AB8992" s="310"/>
    </row>
    <row r="8993" spans="13:28" s="308" customFormat="1" x14ac:dyDescent="0.2">
      <c r="M8993" s="309"/>
      <c r="AB8993" s="310"/>
    </row>
    <row r="8994" spans="13:28" s="308" customFormat="1" x14ac:dyDescent="0.2">
      <c r="M8994" s="309"/>
      <c r="AB8994" s="310"/>
    </row>
    <row r="8995" spans="13:28" s="308" customFormat="1" x14ac:dyDescent="0.2">
      <c r="M8995" s="309"/>
      <c r="AB8995" s="310"/>
    </row>
    <row r="8996" spans="13:28" s="308" customFormat="1" x14ac:dyDescent="0.2">
      <c r="M8996" s="309"/>
      <c r="AB8996" s="310"/>
    </row>
    <row r="8997" spans="13:28" s="308" customFormat="1" x14ac:dyDescent="0.2">
      <c r="M8997" s="309"/>
      <c r="AB8997" s="310"/>
    </row>
    <row r="8998" spans="13:28" s="308" customFormat="1" x14ac:dyDescent="0.2">
      <c r="M8998" s="309"/>
      <c r="AB8998" s="310"/>
    </row>
    <row r="8999" spans="13:28" s="308" customFormat="1" x14ac:dyDescent="0.2">
      <c r="M8999" s="309"/>
      <c r="AB8999" s="310"/>
    </row>
    <row r="9000" spans="13:28" s="308" customFormat="1" x14ac:dyDescent="0.2">
      <c r="M9000" s="309"/>
      <c r="AB9000" s="310"/>
    </row>
    <row r="9001" spans="13:28" s="308" customFormat="1" x14ac:dyDescent="0.2">
      <c r="M9001" s="309"/>
      <c r="AB9001" s="310"/>
    </row>
    <row r="9002" spans="13:28" s="308" customFormat="1" x14ac:dyDescent="0.2">
      <c r="M9002" s="309"/>
      <c r="AB9002" s="310"/>
    </row>
    <row r="9003" spans="13:28" s="308" customFormat="1" x14ac:dyDescent="0.2">
      <c r="M9003" s="309"/>
      <c r="AB9003" s="310"/>
    </row>
    <row r="9004" spans="13:28" s="308" customFormat="1" x14ac:dyDescent="0.2">
      <c r="M9004" s="309"/>
      <c r="AB9004" s="310"/>
    </row>
    <row r="9005" spans="13:28" s="308" customFormat="1" x14ac:dyDescent="0.2">
      <c r="M9005" s="309"/>
      <c r="AB9005" s="310"/>
    </row>
    <row r="9006" spans="13:28" s="308" customFormat="1" x14ac:dyDescent="0.2">
      <c r="M9006" s="309"/>
      <c r="AB9006" s="310"/>
    </row>
    <row r="9007" spans="13:28" s="308" customFormat="1" x14ac:dyDescent="0.2">
      <c r="M9007" s="309"/>
      <c r="AB9007" s="310"/>
    </row>
    <row r="9008" spans="13:28" s="308" customFormat="1" x14ac:dyDescent="0.2">
      <c r="M9008" s="309"/>
      <c r="AB9008" s="310"/>
    </row>
    <row r="9009" spans="13:28" s="308" customFormat="1" x14ac:dyDescent="0.2">
      <c r="M9009" s="309"/>
      <c r="AB9009" s="310"/>
    </row>
    <row r="9010" spans="13:28" s="308" customFormat="1" x14ac:dyDescent="0.2">
      <c r="M9010" s="309"/>
      <c r="AB9010" s="310"/>
    </row>
    <row r="9011" spans="13:28" s="308" customFormat="1" x14ac:dyDescent="0.2">
      <c r="M9011" s="309"/>
      <c r="AB9011" s="310"/>
    </row>
    <row r="9012" spans="13:28" s="308" customFormat="1" x14ac:dyDescent="0.2">
      <c r="M9012" s="309"/>
      <c r="AB9012" s="310"/>
    </row>
    <row r="9013" spans="13:28" s="308" customFormat="1" x14ac:dyDescent="0.2">
      <c r="M9013" s="309"/>
      <c r="AB9013" s="310"/>
    </row>
    <row r="9014" spans="13:28" s="308" customFormat="1" x14ac:dyDescent="0.2">
      <c r="M9014" s="309"/>
      <c r="AB9014" s="310"/>
    </row>
    <row r="9015" spans="13:28" s="308" customFormat="1" x14ac:dyDescent="0.2">
      <c r="M9015" s="309"/>
      <c r="AB9015" s="310"/>
    </row>
    <row r="9016" spans="13:28" s="308" customFormat="1" x14ac:dyDescent="0.2">
      <c r="M9016" s="309"/>
      <c r="AB9016" s="310"/>
    </row>
    <row r="9017" spans="13:28" s="308" customFormat="1" x14ac:dyDescent="0.2">
      <c r="M9017" s="309"/>
      <c r="AB9017" s="310"/>
    </row>
    <row r="9018" spans="13:28" s="308" customFormat="1" x14ac:dyDescent="0.2">
      <c r="M9018" s="309"/>
      <c r="AB9018" s="310"/>
    </row>
    <row r="9019" spans="13:28" s="308" customFormat="1" x14ac:dyDescent="0.2">
      <c r="M9019" s="309"/>
      <c r="AB9019" s="310"/>
    </row>
    <row r="9020" spans="13:28" s="308" customFormat="1" x14ac:dyDescent="0.2">
      <c r="M9020" s="309"/>
      <c r="AB9020" s="310"/>
    </row>
    <row r="9021" spans="13:28" s="308" customFormat="1" x14ac:dyDescent="0.2">
      <c r="M9021" s="309"/>
      <c r="AB9021" s="310"/>
    </row>
    <row r="9022" spans="13:28" s="308" customFormat="1" x14ac:dyDescent="0.2">
      <c r="M9022" s="309"/>
      <c r="AB9022" s="310"/>
    </row>
    <row r="9023" spans="13:28" s="308" customFormat="1" x14ac:dyDescent="0.2">
      <c r="M9023" s="309"/>
      <c r="AB9023" s="310"/>
    </row>
    <row r="9024" spans="13:28" s="308" customFormat="1" x14ac:dyDescent="0.2">
      <c r="M9024" s="309"/>
      <c r="AB9024" s="310"/>
    </row>
    <row r="9025" spans="13:28" s="308" customFormat="1" x14ac:dyDescent="0.2">
      <c r="M9025" s="309"/>
      <c r="AB9025" s="310"/>
    </row>
    <row r="9026" spans="13:28" s="308" customFormat="1" x14ac:dyDescent="0.2">
      <c r="M9026" s="309"/>
      <c r="AB9026" s="310"/>
    </row>
    <row r="9027" spans="13:28" s="308" customFormat="1" x14ac:dyDescent="0.2">
      <c r="M9027" s="309"/>
      <c r="AB9027" s="310"/>
    </row>
    <row r="9028" spans="13:28" s="308" customFormat="1" x14ac:dyDescent="0.2">
      <c r="M9028" s="309"/>
      <c r="AB9028" s="310"/>
    </row>
    <row r="9029" spans="13:28" s="308" customFormat="1" x14ac:dyDescent="0.2">
      <c r="M9029" s="309"/>
      <c r="AB9029" s="310"/>
    </row>
    <row r="9030" spans="13:28" s="308" customFormat="1" x14ac:dyDescent="0.2">
      <c r="M9030" s="309"/>
      <c r="AB9030" s="310"/>
    </row>
    <row r="9031" spans="13:28" s="308" customFormat="1" x14ac:dyDescent="0.2">
      <c r="M9031" s="309"/>
      <c r="AB9031" s="310"/>
    </row>
    <row r="9032" spans="13:28" s="308" customFormat="1" x14ac:dyDescent="0.2">
      <c r="M9032" s="309"/>
      <c r="AB9032" s="310"/>
    </row>
    <row r="9033" spans="13:28" s="308" customFormat="1" x14ac:dyDescent="0.2">
      <c r="M9033" s="309"/>
      <c r="AB9033" s="310"/>
    </row>
    <row r="9034" spans="13:28" s="308" customFormat="1" x14ac:dyDescent="0.2">
      <c r="M9034" s="309"/>
      <c r="AB9034" s="310"/>
    </row>
    <row r="9035" spans="13:28" s="308" customFormat="1" x14ac:dyDescent="0.2">
      <c r="M9035" s="309"/>
      <c r="AB9035" s="310"/>
    </row>
    <row r="9036" spans="13:28" s="308" customFormat="1" x14ac:dyDescent="0.2">
      <c r="M9036" s="309"/>
      <c r="AB9036" s="310"/>
    </row>
    <row r="9037" spans="13:28" s="308" customFormat="1" x14ac:dyDescent="0.2">
      <c r="M9037" s="309"/>
      <c r="AB9037" s="310"/>
    </row>
    <row r="9038" spans="13:28" s="308" customFormat="1" x14ac:dyDescent="0.2">
      <c r="M9038" s="309"/>
      <c r="AB9038" s="310"/>
    </row>
    <row r="9039" spans="13:28" s="308" customFormat="1" x14ac:dyDescent="0.2">
      <c r="M9039" s="309"/>
      <c r="AB9039" s="310"/>
    </row>
    <row r="9040" spans="13:28" s="308" customFormat="1" x14ac:dyDescent="0.2">
      <c r="M9040" s="309"/>
      <c r="AB9040" s="310"/>
    </row>
    <row r="9041" spans="13:28" s="308" customFormat="1" x14ac:dyDescent="0.2">
      <c r="M9041" s="309"/>
      <c r="AB9041" s="310"/>
    </row>
    <row r="9042" spans="13:28" s="308" customFormat="1" x14ac:dyDescent="0.2">
      <c r="M9042" s="309"/>
      <c r="AB9042" s="310"/>
    </row>
    <row r="9043" spans="13:28" s="308" customFormat="1" x14ac:dyDescent="0.2">
      <c r="M9043" s="309"/>
      <c r="AB9043" s="310"/>
    </row>
    <row r="9044" spans="13:28" s="308" customFormat="1" x14ac:dyDescent="0.2">
      <c r="M9044" s="309"/>
      <c r="AB9044" s="310"/>
    </row>
    <row r="9045" spans="13:28" s="308" customFormat="1" x14ac:dyDescent="0.2">
      <c r="M9045" s="309"/>
      <c r="AB9045" s="310"/>
    </row>
    <row r="9046" spans="13:28" s="308" customFormat="1" x14ac:dyDescent="0.2">
      <c r="M9046" s="309"/>
      <c r="AB9046" s="310"/>
    </row>
    <row r="9047" spans="13:28" s="308" customFormat="1" x14ac:dyDescent="0.2">
      <c r="M9047" s="309"/>
      <c r="AB9047" s="310"/>
    </row>
    <row r="9048" spans="13:28" s="308" customFormat="1" x14ac:dyDescent="0.2">
      <c r="M9048" s="309"/>
      <c r="AB9048" s="310"/>
    </row>
    <row r="9049" spans="13:28" s="308" customFormat="1" x14ac:dyDescent="0.2">
      <c r="M9049" s="309"/>
      <c r="AB9049" s="310"/>
    </row>
    <row r="9050" spans="13:28" s="308" customFormat="1" x14ac:dyDescent="0.2">
      <c r="M9050" s="309"/>
      <c r="AB9050" s="310"/>
    </row>
    <row r="9051" spans="13:28" s="308" customFormat="1" x14ac:dyDescent="0.2">
      <c r="M9051" s="309"/>
      <c r="AB9051" s="310"/>
    </row>
    <row r="9052" spans="13:28" s="308" customFormat="1" x14ac:dyDescent="0.2">
      <c r="M9052" s="309"/>
      <c r="AB9052" s="310"/>
    </row>
    <row r="9053" spans="13:28" s="308" customFormat="1" x14ac:dyDescent="0.2">
      <c r="M9053" s="309"/>
      <c r="AB9053" s="310"/>
    </row>
    <row r="9054" spans="13:28" s="308" customFormat="1" x14ac:dyDescent="0.2">
      <c r="M9054" s="309"/>
      <c r="AB9054" s="310"/>
    </row>
    <row r="9055" spans="13:28" s="308" customFormat="1" x14ac:dyDescent="0.2">
      <c r="M9055" s="309"/>
      <c r="AB9055" s="310"/>
    </row>
    <row r="9056" spans="13:28" s="308" customFormat="1" x14ac:dyDescent="0.2">
      <c r="M9056" s="309"/>
      <c r="AB9056" s="310"/>
    </row>
    <row r="9057" spans="13:28" s="308" customFormat="1" x14ac:dyDescent="0.2">
      <c r="M9057" s="309"/>
      <c r="AB9057" s="310"/>
    </row>
    <row r="9058" spans="13:28" s="308" customFormat="1" x14ac:dyDescent="0.2">
      <c r="M9058" s="309"/>
      <c r="AB9058" s="310"/>
    </row>
    <row r="9059" spans="13:28" s="308" customFormat="1" x14ac:dyDescent="0.2">
      <c r="M9059" s="309"/>
      <c r="AB9059" s="310"/>
    </row>
    <row r="9060" spans="13:28" s="308" customFormat="1" x14ac:dyDescent="0.2">
      <c r="M9060" s="309"/>
      <c r="AB9060" s="310"/>
    </row>
    <row r="9061" spans="13:28" s="308" customFormat="1" x14ac:dyDescent="0.2">
      <c r="M9061" s="309"/>
      <c r="AB9061" s="310"/>
    </row>
    <row r="9062" spans="13:28" s="308" customFormat="1" x14ac:dyDescent="0.2">
      <c r="M9062" s="309"/>
      <c r="AB9062" s="310"/>
    </row>
    <row r="9063" spans="13:28" s="308" customFormat="1" x14ac:dyDescent="0.2">
      <c r="M9063" s="309"/>
      <c r="AB9063" s="310"/>
    </row>
    <row r="9064" spans="13:28" s="308" customFormat="1" x14ac:dyDescent="0.2">
      <c r="M9064" s="309"/>
      <c r="AB9064" s="310"/>
    </row>
    <row r="9065" spans="13:28" s="308" customFormat="1" x14ac:dyDescent="0.2">
      <c r="M9065" s="309"/>
      <c r="AB9065" s="310"/>
    </row>
    <row r="9066" spans="13:28" s="308" customFormat="1" x14ac:dyDescent="0.2">
      <c r="M9066" s="309"/>
      <c r="AB9066" s="310"/>
    </row>
    <row r="9067" spans="13:28" s="308" customFormat="1" x14ac:dyDescent="0.2">
      <c r="M9067" s="309"/>
      <c r="AB9067" s="310"/>
    </row>
    <row r="9068" spans="13:28" s="308" customFormat="1" x14ac:dyDescent="0.2">
      <c r="M9068" s="309"/>
      <c r="AB9068" s="310"/>
    </row>
    <row r="9069" spans="13:28" s="308" customFormat="1" x14ac:dyDescent="0.2">
      <c r="M9069" s="309"/>
      <c r="AB9069" s="310"/>
    </row>
    <row r="9070" spans="13:28" s="308" customFormat="1" x14ac:dyDescent="0.2">
      <c r="M9070" s="309"/>
      <c r="AB9070" s="310"/>
    </row>
    <row r="9071" spans="13:28" s="308" customFormat="1" x14ac:dyDescent="0.2">
      <c r="M9071" s="309"/>
      <c r="AB9071" s="310"/>
    </row>
    <row r="9072" spans="13:28" s="308" customFormat="1" x14ac:dyDescent="0.2">
      <c r="M9072" s="309"/>
      <c r="AB9072" s="310"/>
    </row>
    <row r="9073" spans="13:28" s="308" customFormat="1" x14ac:dyDescent="0.2">
      <c r="M9073" s="309"/>
      <c r="AB9073" s="310"/>
    </row>
    <row r="9074" spans="13:28" s="308" customFormat="1" x14ac:dyDescent="0.2">
      <c r="M9074" s="309"/>
      <c r="AB9074" s="310"/>
    </row>
    <row r="9075" spans="13:28" s="308" customFormat="1" x14ac:dyDescent="0.2">
      <c r="M9075" s="309"/>
      <c r="AB9075" s="310"/>
    </row>
    <row r="9076" spans="13:28" s="308" customFormat="1" x14ac:dyDescent="0.2">
      <c r="M9076" s="309"/>
      <c r="AB9076" s="310"/>
    </row>
    <row r="9077" spans="13:28" s="308" customFormat="1" x14ac:dyDescent="0.2">
      <c r="M9077" s="309"/>
      <c r="AB9077" s="310"/>
    </row>
    <row r="9078" spans="13:28" s="308" customFormat="1" x14ac:dyDescent="0.2">
      <c r="M9078" s="309"/>
      <c r="AB9078" s="310"/>
    </row>
    <row r="9079" spans="13:28" s="308" customFormat="1" x14ac:dyDescent="0.2">
      <c r="M9079" s="309"/>
      <c r="AB9079" s="310"/>
    </row>
    <row r="9080" spans="13:28" s="308" customFormat="1" x14ac:dyDescent="0.2">
      <c r="M9080" s="309"/>
      <c r="AB9080" s="310"/>
    </row>
    <row r="9081" spans="13:28" s="308" customFormat="1" x14ac:dyDescent="0.2">
      <c r="M9081" s="309"/>
      <c r="AB9081" s="310"/>
    </row>
    <row r="9082" spans="13:28" s="308" customFormat="1" x14ac:dyDescent="0.2">
      <c r="M9082" s="309"/>
      <c r="AB9082" s="310"/>
    </row>
    <row r="9083" spans="13:28" s="308" customFormat="1" x14ac:dyDescent="0.2">
      <c r="M9083" s="309"/>
      <c r="AB9083" s="310"/>
    </row>
    <row r="9084" spans="13:28" s="308" customFormat="1" x14ac:dyDescent="0.2">
      <c r="M9084" s="309"/>
      <c r="AB9084" s="310"/>
    </row>
    <row r="9085" spans="13:28" s="308" customFormat="1" x14ac:dyDescent="0.2">
      <c r="M9085" s="309"/>
      <c r="AB9085" s="310"/>
    </row>
    <row r="9086" spans="13:28" s="308" customFormat="1" x14ac:dyDescent="0.2">
      <c r="M9086" s="309"/>
      <c r="AB9086" s="310"/>
    </row>
    <row r="9087" spans="13:28" s="308" customFormat="1" x14ac:dyDescent="0.2">
      <c r="M9087" s="309"/>
      <c r="AB9087" s="310"/>
    </row>
    <row r="9088" spans="13:28" s="308" customFormat="1" x14ac:dyDescent="0.2">
      <c r="M9088" s="309"/>
      <c r="AB9088" s="310"/>
    </row>
    <row r="9089" spans="13:28" s="308" customFormat="1" x14ac:dyDescent="0.2">
      <c r="M9089" s="309"/>
      <c r="AB9089" s="310"/>
    </row>
    <row r="9090" spans="13:28" s="308" customFormat="1" x14ac:dyDescent="0.2">
      <c r="M9090" s="309"/>
      <c r="AB9090" s="310"/>
    </row>
    <row r="9091" spans="13:28" s="308" customFormat="1" x14ac:dyDescent="0.2">
      <c r="M9091" s="309"/>
      <c r="AB9091" s="310"/>
    </row>
    <row r="9092" spans="13:28" s="308" customFormat="1" x14ac:dyDescent="0.2">
      <c r="M9092" s="309"/>
      <c r="AB9092" s="310"/>
    </row>
    <row r="9093" spans="13:28" s="308" customFormat="1" x14ac:dyDescent="0.2">
      <c r="M9093" s="309"/>
      <c r="AB9093" s="310"/>
    </row>
    <row r="9094" spans="13:28" s="308" customFormat="1" x14ac:dyDescent="0.2">
      <c r="M9094" s="309"/>
      <c r="AB9094" s="310"/>
    </row>
    <row r="9095" spans="13:28" s="308" customFormat="1" x14ac:dyDescent="0.2">
      <c r="M9095" s="309"/>
      <c r="AB9095" s="310"/>
    </row>
    <row r="9096" spans="13:28" s="308" customFormat="1" x14ac:dyDescent="0.2">
      <c r="M9096" s="309"/>
      <c r="AB9096" s="310"/>
    </row>
    <row r="9097" spans="13:28" s="308" customFormat="1" x14ac:dyDescent="0.2">
      <c r="M9097" s="309"/>
      <c r="AB9097" s="310"/>
    </row>
    <row r="9098" spans="13:28" s="308" customFormat="1" x14ac:dyDescent="0.2">
      <c r="M9098" s="309"/>
      <c r="AB9098" s="310"/>
    </row>
    <row r="9099" spans="13:28" s="308" customFormat="1" x14ac:dyDescent="0.2">
      <c r="M9099" s="309"/>
      <c r="AB9099" s="310"/>
    </row>
    <row r="9100" spans="13:28" s="308" customFormat="1" x14ac:dyDescent="0.2">
      <c r="M9100" s="309"/>
      <c r="AB9100" s="310"/>
    </row>
    <row r="9101" spans="13:28" s="308" customFormat="1" x14ac:dyDescent="0.2">
      <c r="M9101" s="309"/>
      <c r="AB9101" s="310"/>
    </row>
    <row r="9102" spans="13:28" s="308" customFormat="1" x14ac:dyDescent="0.2">
      <c r="M9102" s="309"/>
      <c r="AB9102" s="310"/>
    </row>
    <row r="9103" spans="13:28" s="308" customFormat="1" x14ac:dyDescent="0.2">
      <c r="M9103" s="309"/>
      <c r="AB9103" s="310"/>
    </row>
    <row r="9104" spans="13:28" s="308" customFormat="1" x14ac:dyDescent="0.2">
      <c r="M9104" s="309"/>
      <c r="AB9104" s="310"/>
    </row>
    <row r="9105" spans="13:28" s="308" customFormat="1" x14ac:dyDescent="0.2">
      <c r="M9105" s="309"/>
      <c r="AB9105" s="310"/>
    </row>
    <row r="9106" spans="13:28" s="308" customFormat="1" x14ac:dyDescent="0.2">
      <c r="M9106" s="309"/>
      <c r="AB9106" s="310"/>
    </row>
    <row r="9107" spans="13:28" s="308" customFormat="1" x14ac:dyDescent="0.2">
      <c r="M9107" s="309"/>
      <c r="AB9107" s="310"/>
    </row>
    <row r="9108" spans="13:28" s="308" customFormat="1" x14ac:dyDescent="0.2">
      <c r="M9108" s="309"/>
      <c r="AB9108" s="310"/>
    </row>
    <row r="9109" spans="13:28" s="308" customFormat="1" x14ac:dyDescent="0.2">
      <c r="M9109" s="309"/>
      <c r="AB9109" s="310"/>
    </row>
    <row r="9110" spans="13:28" s="308" customFormat="1" x14ac:dyDescent="0.2">
      <c r="M9110" s="309"/>
      <c r="AB9110" s="310"/>
    </row>
    <row r="9111" spans="13:28" s="308" customFormat="1" x14ac:dyDescent="0.2">
      <c r="M9111" s="309"/>
      <c r="AB9111" s="310"/>
    </row>
    <row r="9112" spans="13:28" s="308" customFormat="1" x14ac:dyDescent="0.2">
      <c r="M9112" s="309"/>
      <c r="AB9112" s="310"/>
    </row>
    <row r="9113" spans="13:28" s="308" customFormat="1" x14ac:dyDescent="0.2">
      <c r="M9113" s="309"/>
      <c r="AB9113" s="310"/>
    </row>
    <row r="9114" spans="13:28" s="308" customFormat="1" x14ac:dyDescent="0.2">
      <c r="M9114" s="309"/>
      <c r="AB9114" s="310"/>
    </row>
    <row r="9115" spans="13:28" s="308" customFormat="1" x14ac:dyDescent="0.2">
      <c r="M9115" s="309"/>
      <c r="AB9115" s="310"/>
    </row>
    <row r="9116" spans="13:28" s="308" customFormat="1" x14ac:dyDescent="0.2">
      <c r="M9116" s="309"/>
      <c r="AB9116" s="310"/>
    </row>
    <row r="9117" spans="13:28" s="308" customFormat="1" x14ac:dyDescent="0.2">
      <c r="M9117" s="309"/>
      <c r="AB9117" s="310"/>
    </row>
    <row r="9118" spans="13:28" s="308" customFormat="1" x14ac:dyDescent="0.2">
      <c r="M9118" s="309"/>
      <c r="AB9118" s="310"/>
    </row>
    <row r="9119" spans="13:28" s="308" customFormat="1" x14ac:dyDescent="0.2">
      <c r="M9119" s="309"/>
      <c r="AB9119" s="310"/>
    </row>
    <row r="9120" spans="13:28" s="308" customFormat="1" x14ac:dyDescent="0.2">
      <c r="M9120" s="309"/>
      <c r="AB9120" s="310"/>
    </row>
    <row r="9121" spans="13:28" s="308" customFormat="1" x14ac:dyDescent="0.2">
      <c r="M9121" s="309"/>
      <c r="AB9121" s="310"/>
    </row>
    <row r="9122" spans="13:28" s="308" customFormat="1" x14ac:dyDescent="0.2">
      <c r="M9122" s="309"/>
      <c r="AB9122" s="310"/>
    </row>
    <row r="9123" spans="13:28" s="308" customFormat="1" x14ac:dyDescent="0.2">
      <c r="M9123" s="309"/>
      <c r="AB9123" s="310"/>
    </row>
    <row r="9124" spans="13:28" s="308" customFormat="1" x14ac:dyDescent="0.2">
      <c r="M9124" s="309"/>
      <c r="AB9124" s="310"/>
    </row>
    <row r="9125" spans="13:28" s="308" customFormat="1" x14ac:dyDescent="0.2">
      <c r="M9125" s="309"/>
      <c r="AB9125" s="310"/>
    </row>
    <row r="9126" spans="13:28" s="308" customFormat="1" x14ac:dyDescent="0.2">
      <c r="M9126" s="309"/>
      <c r="AB9126" s="310"/>
    </row>
    <row r="9127" spans="13:28" s="308" customFormat="1" x14ac:dyDescent="0.2">
      <c r="M9127" s="309"/>
      <c r="AB9127" s="310"/>
    </row>
    <row r="9128" spans="13:28" s="308" customFormat="1" x14ac:dyDescent="0.2">
      <c r="M9128" s="309"/>
      <c r="AB9128" s="310"/>
    </row>
    <row r="9129" spans="13:28" s="308" customFormat="1" x14ac:dyDescent="0.2">
      <c r="M9129" s="309"/>
      <c r="AB9129" s="310"/>
    </row>
    <row r="9130" spans="13:28" s="308" customFormat="1" x14ac:dyDescent="0.2">
      <c r="M9130" s="309"/>
      <c r="AB9130" s="310"/>
    </row>
    <row r="9131" spans="13:28" s="308" customFormat="1" x14ac:dyDescent="0.2">
      <c r="M9131" s="309"/>
      <c r="AB9131" s="310"/>
    </row>
    <row r="9132" spans="13:28" s="308" customFormat="1" x14ac:dyDescent="0.2">
      <c r="M9132" s="309"/>
      <c r="AB9132" s="310"/>
    </row>
    <row r="9133" spans="13:28" s="308" customFormat="1" x14ac:dyDescent="0.2">
      <c r="M9133" s="309"/>
      <c r="AB9133" s="310"/>
    </row>
    <row r="9134" spans="13:28" s="308" customFormat="1" x14ac:dyDescent="0.2">
      <c r="M9134" s="309"/>
      <c r="AB9134" s="310"/>
    </row>
    <row r="9135" spans="13:28" s="308" customFormat="1" x14ac:dyDescent="0.2">
      <c r="M9135" s="309"/>
      <c r="AB9135" s="310"/>
    </row>
    <row r="9136" spans="13:28" s="308" customFormat="1" x14ac:dyDescent="0.2">
      <c r="M9136" s="309"/>
      <c r="AB9136" s="310"/>
    </row>
    <row r="9137" spans="13:28" s="308" customFormat="1" x14ac:dyDescent="0.2">
      <c r="M9137" s="309"/>
      <c r="AB9137" s="310"/>
    </row>
    <row r="9138" spans="13:28" s="308" customFormat="1" x14ac:dyDescent="0.2">
      <c r="M9138" s="309"/>
      <c r="AB9138" s="310"/>
    </row>
    <row r="9139" spans="13:28" s="308" customFormat="1" x14ac:dyDescent="0.2">
      <c r="M9139" s="309"/>
      <c r="AB9139" s="310"/>
    </row>
    <row r="9140" spans="13:28" s="308" customFormat="1" x14ac:dyDescent="0.2">
      <c r="M9140" s="309"/>
      <c r="AB9140" s="310"/>
    </row>
    <row r="9141" spans="13:28" s="308" customFormat="1" x14ac:dyDescent="0.2">
      <c r="M9141" s="309"/>
      <c r="AB9141" s="310"/>
    </row>
    <row r="9142" spans="13:28" s="308" customFormat="1" x14ac:dyDescent="0.2">
      <c r="M9142" s="309"/>
      <c r="AB9142" s="310"/>
    </row>
    <row r="9143" spans="13:28" s="308" customFormat="1" x14ac:dyDescent="0.2">
      <c r="M9143" s="309"/>
      <c r="AB9143" s="310"/>
    </row>
    <row r="9144" spans="13:28" s="308" customFormat="1" x14ac:dyDescent="0.2">
      <c r="M9144" s="309"/>
      <c r="AB9144" s="310"/>
    </row>
    <row r="9145" spans="13:28" s="308" customFormat="1" x14ac:dyDescent="0.2">
      <c r="M9145" s="309"/>
      <c r="AB9145" s="310"/>
    </row>
    <row r="9146" spans="13:28" s="308" customFormat="1" x14ac:dyDescent="0.2">
      <c r="M9146" s="309"/>
      <c r="AB9146" s="310"/>
    </row>
    <row r="9147" spans="13:28" s="308" customFormat="1" x14ac:dyDescent="0.2">
      <c r="M9147" s="309"/>
      <c r="AB9147" s="310"/>
    </row>
    <row r="9148" spans="13:28" s="308" customFormat="1" x14ac:dyDescent="0.2">
      <c r="M9148" s="309"/>
      <c r="AB9148" s="310"/>
    </row>
    <row r="9149" spans="13:28" s="308" customFormat="1" x14ac:dyDescent="0.2">
      <c r="M9149" s="309"/>
      <c r="AB9149" s="310"/>
    </row>
    <row r="9150" spans="13:28" s="308" customFormat="1" x14ac:dyDescent="0.2">
      <c r="M9150" s="309"/>
      <c r="AB9150" s="310"/>
    </row>
    <row r="9151" spans="13:28" s="308" customFormat="1" x14ac:dyDescent="0.2">
      <c r="M9151" s="309"/>
      <c r="AB9151" s="310"/>
    </row>
    <row r="9152" spans="13:28" s="308" customFormat="1" x14ac:dyDescent="0.2">
      <c r="M9152" s="309"/>
      <c r="AB9152" s="310"/>
    </row>
    <row r="9153" spans="13:28" s="308" customFormat="1" x14ac:dyDescent="0.2">
      <c r="M9153" s="309"/>
      <c r="AB9153" s="310"/>
    </row>
    <row r="9154" spans="13:28" s="308" customFormat="1" x14ac:dyDescent="0.2">
      <c r="M9154" s="309"/>
      <c r="AB9154" s="310"/>
    </row>
    <row r="9155" spans="13:28" s="308" customFormat="1" x14ac:dyDescent="0.2">
      <c r="M9155" s="309"/>
      <c r="AB9155" s="310"/>
    </row>
    <row r="9156" spans="13:28" s="308" customFormat="1" x14ac:dyDescent="0.2">
      <c r="M9156" s="309"/>
      <c r="AB9156" s="310"/>
    </row>
    <row r="9157" spans="13:28" s="308" customFormat="1" x14ac:dyDescent="0.2">
      <c r="M9157" s="309"/>
      <c r="AB9157" s="310"/>
    </row>
    <row r="9158" spans="13:28" s="308" customFormat="1" x14ac:dyDescent="0.2">
      <c r="M9158" s="309"/>
      <c r="AB9158" s="310"/>
    </row>
    <row r="9159" spans="13:28" s="308" customFormat="1" x14ac:dyDescent="0.2">
      <c r="M9159" s="309"/>
      <c r="AB9159" s="310"/>
    </row>
    <row r="9160" spans="13:28" s="308" customFormat="1" x14ac:dyDescent="0.2">
      <c r="M9160" s="309"/>
      <c r="AB9160" s="310"/>
    </row>
    <row r="9161" spans="13:28" s="308" customFormat="1" x14ac:dyDescent="0.2">
      <c r="M9161" s="309"/>
      <c r="AB9161" s="310"/>
    </row>
    <row r="9162" spans="13:28" s="308" customFormat="1" x14ac:dyDescent="0.2">
      <c r="M9162" s="309"/>
      <c r="AB9162" s="310"/>
    </row>
    <row r="9163" spans="13:28" s="308" customFormat="1" x14ac:dyDescent="0.2">
      <c r="M9163" s="309"/>
      <c r="AB9163" s="310"/>
    </row>
    <row r="9164" spans="13:28" s="308" customFormat="1" x14ac:dyDescent="0.2">
      <c r="M9164" s="309"/>
      <c r="AB9164" s="310"/>
    </row>
    <row r="9165" spans="13:28" s="308" customFormat="1" x14ac:dyDescent="0.2">
      <c r="M9165" s="309"/>
      <c r="AB9165" s="310"/>
    </row>
    <row r="9166" spans="13:28" s="308" customFormat="1" x14ac:dyDescent="0.2">
      <c r="M9166" s="309"/>
      <c r="AB9166" s="310"/>
    </row>
    <row r="9167" spans="13:28" s="308" customFormat="1" x14ac:dyDescent="0.2">
      <c r="M9167" s="309"/>
      <c r="AB9167" s="310"/>
    </row>
    <row r="9168" spans="13:28" s="308" customFormat="1" x14ac:dyDescent="0.2">
      <c r="M9168" s="309"/>
      <c r="AB9168" s="310"/>
    </row>
    <row r="9169" spans="13:28" s="308" customFormat="1" x14ac:dyDescent="0.2">
      <c r="M9169" s="309"/>
      <c r="AB9169" s="310"/>
    </row>
    <row r="9170" spans="13:28" s="308" customFormat="1" x14ac:dyDescent="0.2">
      <c r="M9170" s="309"/>
      <c r="AB9170" s="310"/>
    </row>
    <row r="9171" spans="13:28" s="308" customFormat="1" x14ac:dyDescent="0.2">
      <c r="M9171" s="309"/>
      <c r="AB9171" s="310"/>
    </row>
    <row r="9172" spans="13:28" s="308" customFormat="1" x14ac:dyDescent="0.2">
      <c r="M9172" s="309"/>
      <c r="AB9172" s="310"/>
    </row>
    <row r="9173" spans="13:28" s="308" customFormat="1" x14ac:dyDescent="0.2">
      <c r="M9173" s="309"/>
      <c r="AB9173" s="310"/>
    </row>
    <row r="9174" spans="13:28" s="308" customFormat="1" x14ac:dyDescent="0.2">
      <c r="M9174" s="309"/>
      <c r="AB9174" s="310"/>
    </row>
    <row r="9175" spans="13:28" s="308" customFormat="1" x14ac:dyDescent="0.2">
      <c r="M9175" s="309"/>
      <c r="AB9175" s="310"/>
    </row>
    <row r="9176" spans="13:28" s="308" customFormat="1" x14ac:dyDescent="0.2">
      <c r="M9176" s="309"/>
      <c r="AB9176" s="310"/>
    </row>
    <row r="9177" spans="13:28" s="308" customFormat="1" x14ac:dyDescent="0.2">
      <c r="M9177" s="309"/>
      <c r="AB9177" s="310"/>
    </row>
    <row r="9178" spans="13:28" s="308" customFormat="1" x14ac:dyDescent="0.2">
      <c r="M9178" s="309"/>
      <c r="AB9178" s="310"/>
    </row>
    <row r="9179" spans="13:28" s="308" customFormat="1" x14ac:dyDescent="0.2">
      <c r="M9179" s="309"/>
      <c r="AB9179" s="310"/>
    </row>
    <row r="9180" spans="13:28" s="308" customFormat="1" x14ac:dyDescent="0.2">
      <c r="M9180" s="309"/>
      <c r="AB9180" s="310"/>
    </row>
    <row r="9181" spans="13:28" s="308" customFormat="1" x14ac:dyDescent="0.2">
      <c r="M9181" s="309"/>
      <c r="AB9181" s="310"/>
    </row>
    <row r="9182" spans="13:28" s="308" customFormat="1" x14ac:dyDescent="0.2">
      <c r="M9182" s="309"/>
      <c r="AB9182" s="310"/>
    </row>
    <row r="9183" spans="13:28" s="308" customFormat="1" x14ac:dyDescent="0.2">
      <c r="M9183" s="309"/>
      <c r="AB9183" s="310"/>
    </row>
    <row r="9184" spans="13:28" s="308" customFormat="1" x14ac:dyDescent="0.2">
      <c r="M9184" s="309"/>
      <c r="AB9184" s="310"/>
    </row>
    <row r="9185" spans="13:28" s="308" customFormat="1" x14ac:dyDescent="0.2">
      <c r="M9185" s="309"/>
      <c r="AB9185" s="310"/>
    </row>
    <row r="9186" spans="13:28" s="308" customFormat="1" x14ac:dyDescent="0.2">
      <c r="M9186" s="309"/>
      <c r="AB9186" s="310"/>
    </row>
    <row r="9187" spans="13:28" s="308" customFormat="1" x14ac:dyDescent="0.2">
      <c r="M9187" s="309"/>
      <c r="AB9187" s="310"/>
    </row>
    <row r="9188" spans="13:28" s="308" customFormat="1" x14ac:dyDescent="0.2">
      <c r="M9188" s="309"/>
      <c r="AB9188" s="310"/>
    </row>
    <row r="9189" spans="13:28" s="308" customFormat="1" x14ac:dyDescent="0.2">
      <c r="M9189" s="309"/>
      <c r="AB9189" s="310"/>
    </row>
    <row r="9190" spans="13:28" s="308" customFormat="1" x14ac:dyDescent="0.2">
      <c r="M9190" s="309"/>
      <c r="AB9190" s="310"/>
    </row>
    <row r="9191" spans="13:28" s="308" customFormat="1" x14ac:dyDescent="0.2">
      <c r="M9191" s="309"/>
      <c r="AB9191" s="310"/>
    </row>
    <row r="9192" spans="13:28" s="308" customFormat="1" x14ac:dyDescent="0.2">
      <c r="M9192" s="309"/>
      <c r="AB9192" s="310"/>
    </row>
    <row r="9193" spans="13:28" s="308" customFormat="1" x14ac:dyDescent="0.2">
      <c r="M9193" s="309"/>
      <c r="AB9193" s="310"/>
    </row>
    <row r="9194" spans="13:28" s="308" customFormat="1" x14ac:dyDescent="0.2">
      <c r="M9194" s="309"/>
      <c r="AB9194" s="310"/>
    </row>
    <row r="9195" spans="13:28" s="308" customFormat="1" x14ac:dyDescent="0.2">
      <c r="M9195" s="309"/>
      <c r="AB9195" s="310"/>
    </row>
    <row r="9196" spans="13:28" s="308" customFormat="1" x14ac:dyDescent="0.2">
      <c r="M9196" s="309"/>
      <c r="AB9196" s="310"/>
    </row>
    <row r="9197" spans="13:28" s="308" customFormat="1" x14ac:dyDescent="0.2">
      <c r="M9197" s="309"/>
      <c r="AB9197" s="310"/>
    </row>
    <row r="9198" spans="13:28" s="308" customFormat="1" x14ac:dyDescent="0.2">
      <c r="M9198" s="309"/>
      <c r="AB9198" s="310"/>
    </row>
    <row r="9199" spans="13:28" s="308" customFormat="1" x14ac:dyDescent="0.2">
      <c r="M9199" s="309"/>
      <c r="AB9199" s="310"/>
    </row>
    <row r="9200" spans="13:28" s="308" customFormat="1" x14ac:dyDescent="0.2">
      <c r="M9200" s="309"/>
      <c r="AB9200" s="310"/>
    </row>
    <row r="9201" spans="13:28" s="308" customFormat="1" x14ac:dyDescent="0.2">
      <c r="M9201" s="309"/>
      <c r="AB9201" s="310"/>
    </row>
    <row r="9202" spans="13:28" s="308" customFormat="1" x14ac:dyDescent="0.2">
      <c r="M9202" s="309"/>
      <c r="AB9202" s="310"/>
    </row>
    <row r="9203" spans="13:28" s="308" customFormat="1" x14ac:dyDescent="0.2">
      <c r="M9203" s="309"/>
      <c r="AB9203" s="310"/>
    </row>
    <row r="9204" spans="13:28" s="308" customFormat="1" x14ac:dyDescent="0.2">
      <c r="M9204" s="309"/>
      <c r="AB9204" s="310"/>
    </row>
    <row r="9205" spans="13:28" s="308" customFormat="1" x14ac:dyDescent="0.2">
      <c r="M9205" s="309"/>
      <c r="AB9205" s="310"/>
    </row>
    <row r="9206" spans="13:28" s="308" customFormat="1" x14ac:dyDescent="0.2">
      <c r="M9206" s="309"/>
      <c r="AB9206" s="310"/>
    </row>
    <row r="9207" spans="13:28" s="308" customFormat="1" x14ac:dyDescent="0.2">
      <c r="M9207" s="309"/>
      <c r="AB9207" s="310"/>
    </row>
    <row r="9208" spans="13:28" s="308" customFormat="1" x14ac:dyDescent="0.2">
      <c r="M9208" s="309"/>
      <c r="AB9208" s="310"/>
    </row>
    <row r="9209" spans="13:28" s="308" customFormat="1" x14ac:dyDescent="0.2">
      <c r="M9209" s="309"/>
      <c r="AB9209" s="310"/>
    </row>
    <row r="9210" spans="13:28" s="308" customFormat="1" x14ac:dyDescent="0.2">
      <c r="M9210" s="309"/>
      <c r="AB9210" s="310"/>
    </row>
    <row r="9211" spans="13:28" s="308" customFormat="1" x14ac:dyDescent="0.2">
      <c r="M9211" s="309"/>
      <c r="AB9211" s="310"/>
    </row>
    <row r="9212" spans="13:28" s="308" customFormat="1" x14ac:dyDescent="0.2">
      <c r="M9212" s="309"/>
      <c r="AB9212" s="310"/>
    </row>
    <row r="9213" spans="13:28" s="308" customFormat="1" x14ac:dyDescent="0.2">
      <c r="M9213" s="309"/>
      <c r="AB9213" s="310"/>
    </row>
    <row r="9214" spans="13:28" s="308" customFormat="1" x14ac:dyDescent="0.2">
      <c r="M9214" s="309"/>
      <c r="AB9214" s="310"/>
    </row>
    <row r="9215" spans="13:28" s="308" customFormat="1" x14ac:dyDescent="0.2">
      <c r="M9215" s="309"/>
      <c r="AB9215" s="310"/>
    </row>
    <row r="9216" spans="13:28" s="308" customFormat="1" x14ac:dyDescent="0.2">
      <c r="M9216" s="309"/>
      <c r="AB9216" s="310"/>
    </row>
    <row r="9217" spans="13:28" s="308" customFormat="1" x14ac:dyDescent="0.2">
      <c r="M9217" s="309"/>
      <c r="AB9217" s="310"/>
    </row>
    <row r="9218" spans="13:28" s="308" customFormat="1" x14ac:dyDescent="0.2">
      <c r="M9218" s="309"/>
      <c r="AB9218" s="310"/>
    </row>
    <row r="9219" spans="13:28" s="308" customFormat="1" x14ac:dyDescent="0.2">
      <c r="M9219" s="309"/>
      <c r="AB9219" s="310"/>
    </row>
    <row r="9220" spans="13:28" s="308" customFormat="1" x14ac:dyDescent="0.2">
      <c r="M9220" s="309"/>
      <c r="AB9220" s="310"/>
    </row>
    <row r="9221" spans="13:28" s="308" customFormat="1" x14ac:dyDescent="0.2">
      <c r="M9221" s="309"/>
      <c r="AB9221" s="310"/>
    </row>
    <row r="9222" spans="13:28" s="308" customFormat="1" x14ac:dyDescent="0.2">
      <c r="M9222" s="309"/>
      <c r="AB9222" s="310"/>
    </row>
    <row r="9223" spans="13:28" s="308" customFormat="1" x14ac:dyDescent="0.2">
      <c r="M9223" s="309"/>
      <c r="AB9223" s="310"/>
    </row>
    <row r="9224" spans="13:28" s="308" customFormat="1" x14ac:dyDescent="0.2">
      <c r="M9224" s="309"/>
      <c r="AB9224" s="310"/>
    </row>
    <row r="9225" spans="13:28" s="308" customFormat="1" x14ac:dyDescent="0.2">
      <c r="M9225" s="309"/>
      <c r="AB9225" s="310"/>
    </row>
    <row r="9226" spans="13:28" s="308" customFormat="1" x14ac:dyDescent="0.2">
      <c r="M9226" s="309"/>
      <c r="AB9226" s="310"/>
    </row>
    <row r="9227" spans="13:28" s="308" customFormat="1" x14ac:dyDescent="0.2">
      <c r="M9227" s="309"/>
      <c r="AB9227" s="310"/>
    </row>
    <row r="9228" spans="13:28" s="308" customFormat="1" x14ac:dyDescent="0.2">
      <c r="M9228" s="309"/>
      <c r="AB9228" s="310"/>
    </row>
    <row r="9229" spans="13:28" s="308" customFormat="1" x14ac:dyDescent="0.2">
      <c r="M9229" s="309"/>
      <c r="AB9229" s="310"/>
    </row>
    <row r="9230" spans="13:28" s="308" customFormat="1" x14ac:dyDescent="0.2">
      <c r="M9230" s="309"/>
      <c r="AB9230" s="310"/>
    </row>
    <row r="9231" spans="13:28" s="308" customFormat="1" x14ac:dyDescent="0.2">
      <c r="M9231" s="309"/>
      <c r="AB9231" s="310"/>
    </row>
    <row r="9232" spans="13:28" s="308" customFormat="1" x14ac:dyDescent="0.2">
      <c r="M9232" s="309"/>
      <c r="AB9232" s="310"/>
    </row>
    <row r="9233" spans="13:28" s="308" customFormat="1" x14ac:dyDescent="0.2">
      <c r="M9233" s="309"/>
      <c r="AB9233" s="310"/>
    </row>
    <row r="9234" spans="13:28" s="308" customFormat="1" x14ac:dyDescent="0.2">
      <c r="M9234" s="309"/>
      <c r="AB9234" s="310"/>
    </row>
    <row r="9235" spans="13:28" s="308" customFormat="1" x14ac:dyDescent="0.2">
      <c r="M9235" s="309"/>
      <c r="AB9235" s="310"/>
    </row>
    <row r="9236" spans="13:28" s="308" customFormat="1" x14ac:dyDescent="0.2">
      <c r="M9236" s="309"/>
      <c r="AB9236" s="310"/>
    </row>
    <row r="9237" spans="13:28" s="308" customFormat="1" x14ac:dyDescent="0.2">
      <c r="M9237" s="309"/>
      <c r="AB9237" s="310"/>
    </row>
    <row r="9238" spans="13:28" s="308" customFormat="1" x14ac:dyDescent="0.2">
      <c r="M9238" s="309"/>
      <c r="AB9238" s="310"/>
    </row>
    <row r="9239" spans="13:28" s="308" customFormat="1" x14ac:dyDescent="0.2">
      <c r="M9239" s="309"/>
      <c r="AB9239" s="310"/>
    </row>
    <row r="9240" spans="13:28" s="308" customFormat="1" x14ac:dyDescent="0.2">
      <c r="M9240" s="309"/>
      <c r="AB9240" s="310"/>
    </row>
    <row r="9241" spans="13:28" s="308" customFormat="1" x14ac:dyDescent="0.2">
      <c r="M9241" s="309"/>
      <c r="AB9241" s="310"/>
    </row>
    <row r="9242" spans="13:28" s="308" customFormat="1" x14ac:dyDescent="0.2">
      <c r="M9242" s="309"/>
      <c r="AB9242" s="310"/>
    </row>
    <row r="9243" spans="13:28" s="308" customFormat="1" x14ac:dyDescent="0.2">
      <c r="M9243" s="309"/>
      <c r="AB9243" s="310"/>
    </row>
    <row r="9244" spans="13:28" s="308" customFormat="1" x14ac:dyDescent="0.2">
      <c r="M9244" s="309"/>
      <c r="AB9244" s="310"/>
    </row>
    <row r="9245" spans="13:28" s="308" customFormat="1" x14ac:dyDescent="0.2">
      <c r="M9245" s="309"/>
      <c r="AB9245" s="310"/>
    </row>
    <row r="9246" spans="13:28" s="308" customFormat="1" x14ac:dyDescent="0.2">
      <c r="M9246" s="309"/>
      <c r="AB9246" s="310"/>
    </row>
    <row r="9247" spans="13:28" s="308" customFormat="1" x14ac:dyDescent="0.2">
      <c r="M9247" s="309"/>
      <c r="AB9247" s="310"/>
    </row>
    <row r="9248" spans="13:28" s="308" customFormat="1" x14ac:dyDescent="0.2">
      <c r="M9248" s="309"/>
      <c r="AB9248" s="310"/>
    </row>
    <row r="9249" spans="13:28" s="308" customFormat="1" x14ac:dyDescent="0.2">
      <c r="M9249" s="309"/>
      <c r="AB9249" s="310"/>
    </row>
    <row r="9250" spans="13:28" s="308" customFormat="1" x14ac:dyDescent="0.2">
      <c r="M9250" s="309"/>
      <c r="AB9250" s="310"/>
    </row>
    <row r="9251" spans="13:28" s="308" customFormat="1" x14ac:dyDescent="0.2">
      <c r="M9251" s="309"/>
      <c r="AB9251" s="310"/>
    </row>
    <row r="9252" spans="13:28" s="308" customFormat="1" x14ac:dyDescent="0.2">
      <c r="M9252" s="309"/>
      <c r="AB9252" s="310"/>
    </row>
    <row r="9253" spans="13:28" s="308" customFormat="1" x14ac:dyDescent="0.2">
      <c r="M9253" s="309"/>
      <c r="AB9253" s="310"/>
    </row>
    <row r="9254" spans="13:28" s="308" customFormat="1" x14ac:dyDescent="0.2">
      <c r="M9254" s="309"/>
      <c r="AB9254" s="310"/>
    </row>
    <row r="9255" spans="13:28" s="308" customFormat="1" x14ac:dyDescent="0.2">
      <c r="M9255" s="309"/>
      <c r="AB9255" s="310"/>
    </row>
    <row r="9256" spans="13:28" s="308" customFormat="1" x14ac:dyDescent="0.2">
      <c r="M9256" s="309"/>
      <c r="AB9256" s="310"/>
    </row>
    <row r="9257" spans="13:28" s="308" customFormat="1" x14ac:dyDescent="0.2">
      <c r="M9257" s="309"/>
      <c r="AB9257" s="310"/>
    </row>
    <row r="9258" spans="13:28" s="308" customFormat="1" x14ac:dyDescent="0.2">
      <c r="M9258" s="309"/>
      <c r="AB9258" s="310"/>
    </row>
    <row r="9259" spans="13:28" s="308" customFormat="1" x14ac:dyDescent="0.2">
      <c r="M9259" s="309"/>
      <c r="AB9259" s="310"/>
    </row>
    <row r="9260" spans="13:28" s="308" customFormat="1" x14ac:dyDescent="0.2">
      <c r="M9260" s="309"/>
      <c r="AB9260" s="310"/>
    </row>
    <row r="9261" spans="13:28" s="308" customFormat="1" x14ac:dyDescent="0.2">
      <c r="M9261" s="309"/>
      <c r="AB9261" s="310"/>
    </row>
    <row r="9262" spans="13:28" s="308" customFormat="1" x14ac:dyDescent="0.2">
      <c r="M9262" s="309"/>
      <c r="AB9262" s="310"/>
    </row>
    <row r="9263" spans="13:28" s="308" customFormat="1" x14ac:dyDescent="0.2">
      <c r="M9263" s="309"/>
      <c r="AB9263" s="310"/>
    </row>
    <row r="9264" spans="13:28" s="308" customFormat="1" x14ac:dyDescent="0.2">
      <c r="M9264" s="309"/>
      <c r="AB9264" s="310"/>
    </row>
    <row r="9265" spans="13:28" s="308" customFormat="1" x14ac:dyDescent="0.2">
      <c r="M9265" s="309"/>
      <c r="AB9265" s="310"/>
    </row>
    <row r="9266" spans="13:28" s="308" customFormat="1" x14ac:dyDescent="0.2">
      <c r="M9266" s="309"/>
      <c r="AB9266" s="310"/>
    </row>
    <row r="9267" spans="13:28" s="308" customFormat="1" x14ac:dyDescent="0.2">
      <c r="M9267" s="309"/>
      <c r="AB9267" s="310"/>
    </row>
    <row r="9268" spans="13:28" s="308" customFormat="1" x14ac:dyDescent="0.2">
      <c r="M9268" s="309"/>
      <c r="AB9268" s="310"/>
    </row>
    <row r="9269" spans="13:28" s="308" customFormat="1" x14ac:dyDescent="0.2">
      <c r="M9269" s="309"/>
      <c r="AB9269" s="310"/>
    </row>
    <row r="9270" spans="13:28" s="308" customFormat="1" x14ac:dyDescent="0.2">
      <c r="M9270" s="309"/>
      <c r="AB9270" s="310"/>
    </row>
    <row r="9271" spans="13:28" s="308" customFormat="1" x14ac:dyDescent="0.2">
      <c r="M9271" s="309"/>
      <c r="AB9271" s="310"/>
    </row>
    <row r="9272" spans="13:28" s="308" customFormat="1" x14ac:dyDescent="0.2">
      <c r="M9272" s="309"/>
      <c r="AB9272" s="310"/>
    </row>
    <row r="9273" spans="13:28" s="308" customFormat="1" x14ac:dyDescent="0.2">
      <c r="M9273" s="309"/>
      <c r="AB9273" s="310"/>
    </row>
    <row r="9274" spans="13:28" s="308" customFormat="1" x14ac:dyDescent="0.2">
      <c r="M9274" s="309"/>
      <c r="AB9274" s="310"/>
    </row>
    <row r="9275" spans="13:28" s="308" customFormat="1" x14ac:dyDescent="0.2">
      <c r="M9275" s="309"/>
      <c r="AB9275" s="310"/>
    </row>
    <row r="9276" spans="13:28" s="308" customFormat="1" x14ac:dyDescent="0.2">
      <c r="M9276" s="309"/>
      <c r="AB9276" s="310"/>
    </row>
    <row r="9277" spans="13:28" s="308" customFormat="1" x14ac:dyDescent="0.2">
      <c r="M9277" s="309"/>
      <c r="AB9277" s="310"/>
    </row>
    <row r="9278" spans="13:28" s="308" customFormat="1" x14ac:dyDescent="0.2">
      <c r="M9278" s="309"/>
      <c r="AB9278" s="310"/>
    </row>
    <row r="9279" spans="13:28" s="308" customFormat="1" x14ac:dyDescent="0.2">
      <c r="M9279" s="309"/>
      <c r="AB9279" s="310"/>
    </row>
    <row r="9280" spans="13:28" s="308" customFormat="1" x14ac:dyDescent="0.2">
      <c r="M9280" s="309"/>
      <c r="AB9280" s="310"/>
    </row>
    <row r="9281" spans="13:28" s="308" customFormat="1" x14ac:dyDescent="0.2">
      <c r="M9281" s="309"/>
      <c r="AB9281" s="310"/>
    </row>
    <row r="9282" spans="13:28" s="308" customFormat="1" x14ac:dyDescent="0.2">
      <c r="M9282" s="309"/>
      <c r="AB9282" s="310"/>
    </row>
    <row r="9283" spans="13:28" s="308" customFormat="1" x14ac:dyDescent="0.2">
      <c r="M9283" s="309"/>
      <c r="AB9283" s="310"/>
    </row>
    <row r="9284" spans="13:28" s="308" customFormat="1" x14ac:dyDescent="0.2">
      <c r="M9284" s="309"/>
      <c r="AB9284" s="310"/>
    </row>
    <row r="9285" spans="13:28" s="308" customFormat="1" x14ac:dyDescent="0.2">
      <c r="M9285" s="309"/>
      <c r="AB9285" s="310"/>
    </row>
    <row r="9286" spans="13:28" s="308" customFormat="1" x14ac:dyDescent="0.2">
      <c r="M9286" s="309"/>
      <c r="AB9286" s="310"/>
    </row>
    <row r="9287" spans="13:28" s="308" customFormat="1" x14ac:dyDescent="0.2">
      <c r="M9287" s="309"/>
      <c r="AB9287" s="310"/>
    </row>
    <row r="9288" spans="13:28" s="308" customFormat="1" x14ac:dyDescent="0.2">
      <c r="M9288" s="309"/>
      <c r="AB9288" s="310"/>
    </row>
    <row r="9289" spans="13:28" s="308" customFormat="1" x14ac:dyDescent="0.2">
      <c r="M9289" s="309"/>
      <c r="AB9289" s="310"/>
    </row>
    <row r="9290" spans="13:28" s="308" customFormat="1" x14ac:dyDescent="0.2">
      <c r="M9290" s="309"/>
      <c r="AB9290" s="310"/>
    </row>
    <row r="9291" spans="13:28" s="308" customFormat="1" x14ac:dyDescent="0.2">
      <c r="M9291" s="309"/>
      <c r="AB9291" s="310"/>
    </row>
    <row r="9292" spans="13:28" s="308" customFormat="1" x14ac:dyDescent="0.2">
      <c r="M9292" s="309"/>
      <c r="AB9292" s="310"/>
    </row>
    <row r="9293" spans="13:28" s="308" customFormat="1" x14ac:dyDescent="0.2">
      <c r="M9293" s="309"/>
      <c r="AB9293" s="310"/>
    </row>
    <row r="9294" spans="13:28" s="308" customFormat="1" x14ac:dyDescent="0.2">
      <c r="M9294" s="309"/>
      <c r="AB9294" s="310"/>
    </row>
    <row r="9295" spans="13:28" s="308" customFormat="1" x14ac:dyDescent="0.2">
      <c r="M9295" s="309"/>
      <c r="AB9295" s="310"/>
    </row>
    <row r="9296" spans="13:28" s="308" customFormat="1" x14ac:dyDescent="0.2">
      <c r="M9296" s="309"/>
      <c r="AB9296" s="310"/>
    </row>
    <row r="9297" spans="13:28" s="308" customFormat="1" x14ac:dyDescent="0.2">
      <c r="M9297" s="309"/>
      <c r="AB9297" s="310"/>
    </row>
    <row r="9298" spans="13:28" s="308" customFormat="1" x14ac:dyDescent="0.2">
      <c r="M9298" s="309"/>
      <c r="AB9298" s="310"/>
    </row>
    <row r="9299" spans="13:28" s="308" customFormat="1" x14ac:dyDescent="0.2">
      <c r="M9299" s="309"/>
      <c r="AB9299" s="310"/>
    </row>
    <row r="9300" spans="13:28" s="308" customFormat="1" x14ac:dyDescent="0.2">
      <c r="M9300" s="309"/>
      <c r="AB9300" s="310"/>
    </row>
    <row r="9301" spans="13:28" s="308" customFormat="1" x14ac:dyDescent="0.2">
      <c r="M9301" s="309"/>
      <c r="AB9301" s="310"/>
    </row>
    <row r="9302" spans="13:28" s="308" customFormat="1" x14ac:dyDescent="0.2">
      <c r="M9302" s="309"/>
      <c r="AB9302" s="310"/>
    </row>
    <row r="9303" spans="13:28" s="308" customFormat="1" x14ac:dyDescent="0.2">
      <c r="M9303" s="309"/>
      <c r="AB9303" s="310"/>
    </row>
    <row r="9304" spans="13:28" s="308" customFormat="1" x14ac:dyDescent="0.2">
      <c r="M9304" s="309"/>
      <c r="AB9304" s="310"/>
    </row>
    <row r="9305" spans="13:28" s="308" customFormat="1" x14ac:dyDescent="0.2">
      <c r="M9305" s="309"/>
      <c r="AB9305" s="310"/>
    </row>
    <row r="9306" spans="13:28" s="308" customFormat="1" x14ac:dyDescent="0.2">
      <c r="M9306" s="309"/>
      <c r="AB9306" s="310"/>
    </row>
    <row r="9307" spans="13:28" s="308" customFormat="1" x14ac:dyDescent="0.2">
      <c r="M9307" s="309"/>
      <c r="AB9307" s="310"/>
    </row>
    <row r="9308" spans="13:28" s="308" customFormat="1" x14ac:dyDescent="0.2">
      <c r="M9308" s="309"/>
      <c r="AB9308" s="310"/>
    </row>
    <row r="9309" spans="13:28" s="308" customFormat="1" x14ac:dyDescent="0.2">
      <c r="M9309" s="309"/>
      <c r="AB9309" s="310"/>
    </row>
    <row r="9310" spans="13:28" s="308" customFormat="1" x14ac:dyDescent="0.2">
      <c r="M9310" s="309"/>
      <c r="AB9310" s="310"/>
    </row>
    <row r="9311" spans="13:28" s="308" customFormat="1" x14ac:dyDescent="0.2">
      <c r="M9311" s="309"/>
      <c r="AB9311" s="310"/>
    </row>
    <row r="9312" spans="13:28" s="308" customFormat="1" x14ac:dyDescent="0.2">
      <c r="M9312" s="309"/>
      <c r="AB9312" s="310"/>
    </row>
    <row r="9313" spans="13:28" s="308" customFormat="1" x14ac:dyDescent="0.2">
      <c r="M9313" s="309"/>
      <c r="AB9313" s="310"/>
    </row>
    <row r="9314" spans="13:28" s="308" customFormat="1" x14ac:dyDescent="0.2">
      <c r="M9314" s="309"/>
      <c r="AB9314" s="310"/>
    </row>
    <row r="9315" spans="13:28" s="308" customFormat="1" x14ac:dyDescent="0.2">
      <c r="M9315" s="309"/>
      <c r="AB9315" s="310"/>
    </row>
    <row r="9316" spans="13:28" s="308" customFormat="1" x14ac:dyDescent="0.2">
      <c r="M9316" s="309"/>
      <c r="AB9316" s="310"/>
    </row>
    <row r="9317" spans="13:28" s="308" customFormat="1" x14ac:dyDescent="0.2">
      <c r="M9317" s="309"/>
      <c r="AB9317" s="310"/>
    </row>
    <row r="9318" spans="13:28" s="308" customFormat="1" x14ac:dyDescent="0.2">
      <c r="M9318" s="309"/>
      <c r="AB9318" s="310"/>
    </row>
    <row r="9319" spans="13:28" s="308" customFormat="1" x14ac:dyDescent="0.2">
      <c r="M9319" s="309"/>
      <c r="AB9319" s="310"/>
    </row>
    <row r="9320" spans="13:28" s="308" customFormat="1" x14ac:dyDescent="0.2">
      <c r="M9320" s="309"/>
      <c r="AB9320" s="310"/>
    </row>
    <row r="9321" spans="13:28" s="308" customFormat="1" x14ac:dyDescent="0.2">
      <c r="M9321" s="309"/>
      <c r="AB9321" s="310"/>
    </row>
    <row r="9322" spans="13:28" s="308" customFormat="1" x14ac:dyDescent="0.2">
      <c r="M9322" s="309"/>
      <c r="AB9322" s="310"/>
    </row>
    <row r="9323" spans="13:28" s="308" customFormat="1" x14ac:dyDescent="0.2">
      <c r="M9323" s="309"/>
      <c r="AB9323" s="310"/>
    </row>
    <row r="9324" spans="13:28" s="308" customFormat="1" x14ac:dyDescent="0.2">
      <c r="M9324" s="309"/>
      <c r="AB9324" s="310"/>
    </row>
    <row r="9325" spans="13:28" s="308" customFormat="1" x14ac:dyDescent="0.2">
      <c r="M9325" s="309"/>
      <c r="AB9325" s="310"/>
    </row>
    <row r="9326" spans="13:28" s="308" customFormat="1" x14ac:dyDescent="0.2">
      <c r="M9326" s="309"/>
      <c r="AB9326" s="310"/>
    </row>
    <row r="9327" spans="13:28" s="308" customFormat="1" x14ac:dyDescent="0.2">
      <c r="M9327" s="309"/>
      <c r="AB9327" s="310"/>
    </row>
    <row r="9328" spans="13:28" s="308" customFormat="1" x14ac:dyDescent="0.2">
      <c r="M9328" s="309"/>
      <c r="AB9328" s="310"/>
    </row>
    <row r="9329" spans="13:28" s="308" customFormat="1" x14ac:dyDescent="0.2">
      <c r="M9329" s="309"/>
      <c r="AB9329" s="310"/>
    </row>
    <row r="9330" spans="13:28" s="308" customFormat="1" x14ac:dyDescent="0.2">
      <c r="M9330" s="309"/>
      <c r="AB9330" s="310"/>
    </row>
    <row r="9331" spans="13:28" s="308" customFormat="1" x14ac:dyDescent="0.2">
      <c r="M9331" s="309"/>
      <c r="AB9331" s="310"/>
    </row>
    <row r="9332" spans="13:28" s="308" customFormat="1" x14ac:dyDescent="0.2">
      <c r="M9332" s="309"/>
      <c r="AB9332" s="310"/>
    </row>
    <row r="9333" spans="13:28" s="308" customFormat="1" x14ac:dyDescent="0.2">
      <c r="M9333" s="309"/>
      <c r="AB9333" s="310"/>
    </row>
    <row r="9334" spans="13:28" s="308" customFormat="1" x14ac:dyDescent="0.2">
      <c r="M9334" s="309"/>
      <c r="AB9334" s="310"/>
    </row>
    <row r="9335" spans="13:28" s="308" customFormat="1" x14ac:dyDescent="0.2">
      <c r="M9335" s="309"/>
      <c r="AB9335" s="310"/>
    </row>
    <row r="9336" spans="13:28" s="308" customFormat="1" x14ac:dyDescent="0.2">
      <c r="M9336" s="309"/>
      <c r="AB9336" s="310"/>
    </row>
    <row r="9337" spans="13:28" s="308" customFormat="1" x14ac:dyDescent="0.2">
      <c r="M9337" s="309"/>
      <c r="AB9337" s="310"/>
    </row>
    <row r="9338" spans="13:28" s="308" customFormat="1" x14ac:dyDescent="0.2">
      <c r="M9338" s="309"/>
      <c r="AB9338" s="310"/>
    </row>
    <row r="9339" spans="13:28" s="308" customFormat="1" x14ac:dyDescent="0.2">
      <c r="M9339" s="309"/>
      <c r="AB9339" s="310"/>
    </row>
    <row r="9340" spans="13:28" s="308" customFormat="1" x14ac:dyDescent="0.2">
      <c r="M9340" s="309"/>
      <c r="AB9340" s="310"/>
    </row>
    <row r="9341" spans="13:28" s="308" customFormat="1" x14ac:dyDescent="0.2">
      <c r="M9341" s="309"/>
      <c r="AB9341" s="310"/>
    </row>
    <row r="9342" spans="13:28" s="308" customFormat="1" x14ac:dyDescent="0.2">
      <c r="M9342" s="309"/>
      <c r="AB9342" s="310"/>
    </row>
    <row r="9343" spans="13:28" s="308" customFormat="1" x14ac:dyDescent="0.2">
      <c r="M9343" s="309"/>
      <c r="AB9343" s="310"/>
    </row>
    <row r="9344" spans="13:28" s="308" customFormat="1" x14ac:dyDescent="0.2">
      <c r="M9344" s="309"/>
      <c r="AB9344" s="310"/>
    </row>
    <row r="9345" spans="13:28" s="308" customFormat="1" x14ac:dyDescent="0.2">
      <c r="M9345" s="309"/>
      <c r="AB9345" s="310"/>
    </row>
    <row r="9346" spans="13:28" s="308" customFormat="1" x14ac:dyDescent="0.2">
      <c r="M9346" s="309"/>
      <c r="AB9346" s="310"/>
    </row>
    <row r="9347" spans="13:28" s="308" customFormat="1" x14ac:dyDescent="0.2">
      <c r="M9347" s="309"/>
      <c r="AB9347" s="310"/>
    </row>
    <row r="9348" spans="13:28" s="308" customFormat="1" x14ac:dyDescent="0.2">
      <c r="M9348" s="309"/>
      <c r="AB9348" s="310"/>
    </row>
    <row r="9349" spans="13:28" s="308" customFormat="1" x14ac:dyDescent="0.2">
      <c r="M9349" s="309"/>
      <c r="AB9349" s="310"/>
    </row>
    <row r="9350" spans="13:28" s="308" customFormat="1" x14ac:dyDescent="0.2">
      <c r="M9350" s="309"/>
      <c r="AB9350" s="310"/>
    </row>
    <row r="9351" spans="13:28" s="308" customFormat="1" x14ac:dyDescent="0.2">
      <c r="M9351" s="309"/>
      <c r="AB9351" s="310"/>
    </row>
    <row r="9352" spans="13:28" s="308" customFormat="1" x14ac:dyDescent="0.2">
      <c r="M9352" s="309"/>
      <c r="AB9352" s="310"/>
    </row>
    <row r="9353" spans="13:28" s="308" customFormat="1" x14ac:dyDescent="0.2">
      <c r="M9353" s="309"/>
      <c r="AB9353" s="310"/>
    </row>
    <row r="9354" spans="13:28" s="308" customFormat="1" x14ac:dyDescent="0.2">
      <c r="M9354" s="309"/>
      <c r="AB9354" s="310"/>
    </row>
    <row r="9355" spans="13:28" s="308" customFormat="1" x14ac:dyDescent="0.2">
      <c r="M9355" s="309"/>
      <c r="AB9355" s="310"/>
    </row>
    <row r="9356" spans="13:28" s="308" customFormat="1" x14ac:dyDescent="0.2">
      <c r="M9356" s="309"/>
      <c r="AB9356" s="310"/>
    </row>
    <row r="9357" spans="13:28" s="308" customFormat="1" x14ac:dyDescent="0.2">
      <c r="M9357" s="309"/>
      <c r="AB9357" s="310"/>
    </row>
    <row r="9358" spans="13:28" s="308" customFormat="1" x14ac:dyDescent="0.2">
      <c r="M9358" s="309"/>
      <c r="AB9358" s="310"/>
    </row>
    <row r="9359" spans="13:28" s="308" customFormat="1" x14ac:dyDescent="0.2">
      <c r="M9359" s="309"/>
      <c r="AB9359" s="310"/>
    </row>
    <row r="9360" spans="13:28" s="308" customFormat="1" x14ac:dyDescent="0.2">
      <c r="M9360" s="309"/>
      <c r="AB9360" s="310"/>
    </row>
    <row r="9361" spans="13:28" s="308" customFormat="1" x14ac:dyDescent="0.2">
      <c r="M9361" s="309"/>
      <c r="AB9361" s="310"/>
    </row>
    <row r="9362" spans="13:28" s="308" customFormat="1" x14ac:dyDescent="0.2">
      <c r="M9362" s="309"/>
      <c r="AB9362" s="310"/>
    </row>
    <row r="9363" spans="13:28" s="308" customFormat="1" x14ac:dyDescent="0.2">
      <c r="M9363" s="309"/>
      <c r="AB9363" s="310"/>
    </row>
    <row r="9364" spans="13:28" s="308" customFormat="1" x14ac:dyDescent="0.2">
      <c r="M9364" s="309"/>
      <c r="AB9364" s="310"/>
    </row>
    <row r="9365" spans="13:28" s="308" customFormat="1" x14ac:dyDescent="0.2">
      <c r="M9365" s="309"/>
      <c r="AB9365" s="310"/>
    </row>
    <row r="9366" spans="13:28" s="308" customFormat="1" x14ac:dyDescent="0.2">
      <c r="M9366" s="309"/>
      <c r="AB9366" s="310"/>
    </row>
    <row r="9367" spans="13:28" s="308" customFormat="1" x14ac:dyDescent="0.2">
      <c r="M9367" s="309"/>
      <c r="AB9367" s="310"/>
    </row>
    <row r="9368" spans="13:28" s="308" customFormat="1" x14ac:dyDescent="0.2">
      <c r="M9368" s="309"/>
      <c r="AB9368" s="310"/>
    </row>
    <row r="9369" spans="13:28" s="308" customFormat="1" x14ac:dyDescent="0.2">
      <c r="M9369" s="309"/>
      <c r="AB9369" s="310"/>
    </row>
    <row r="9370" spans="13:28" s="308" customFormat="1" x14ac:dyDescent="0.2">
      <c r="M9370" s="309"/>
      <c r="AB9370" s="310"/>
    </row>
    <row r="9371" spans="13:28" s="308" customFormat="1" x14ac:dyDescent="0.2">
      <c r="M9371" s="309"/>
      <c r="AB9371" s="310"/>
    </row>
    <row r="9372" spans="13:28" s="308" customFormat="1" x14ac:dyDescent="0.2">
      <c r="M9372" s="309"/>
      <c r="AB9372" s="310"/>
    </row>
    <row r="9373" spans="13:28" s="308" customFormat="1" x14ac:dyDescent="0.2">
      <c r="M9373" s="309"/>
      <c r="AB9373" s="310"/>
    </row>
    <row r="9374" spans="13:28" s="308" customFormat="1" x14ac:dyDescent="0.2">
      <c r="M9374" s="309"/>
      <c r="AB9374" s="310"/>
    </row>
    <row r="9375" spans="13:28" s="308" customFormat="1" x14ac:dyDescent="0.2">
      <c r="M9375" s="309"/>
      <c r="AB9375" s="310"/>
    </row>
    <row r="9376" spans="13:28" s="308" customFormat="1" x14ac:dyDescent="0.2">
      <c r="M9376" s="309"/>
      <c r="AB9376" s="310"/>
    </row>
    <row r="9377" spans="13:28" s="308" customFormat="1" x14ac:dyDescent="0.2">
      <c r="M9377" s="309"/>
      <c r="AB9377" s="310"/>
    </row>
    <row r="9378" spans="13:28" s="308" customFormat="1" x14ac:dyDescent="0.2">
      <c r="M9378" s="309"/>
      <c r="AB9378" s="310"/>
    </row>
    <row r="9379" spans="13:28" s="308" customFormat="1" x14ac:dyDescent="0.2">
      <c r="M9379" s="309"/>
      <c r="AB9379" s="310"/>
    </row>
    <row r="9380" spans="13:28" s="308" customFormat="1" x14ac:dyDescent="0.2">
      <c r="M9380" s="309"/>
      <c r="AB9380" s="310"/>
    </row>
    <row r="9381" spans="13:28" s="308" customFormat="1" x14ac:dyDescent="0.2">
      <c r="M9381" s="309"/>
      <c r="AB9381" s="310"/>
    </row>
    <row r="9382" spans="13:28" s="308" customFormat="1" x14ac:dyDescent="0.2">
      <c r="M9382" s="309"/>
      <c r="AB9382" s="310"/>
    </row>
    <row r="9383" spans="13:28" s="308" customFormat="1" x14ac:dyDescent="0.2">
      <c r="M9383" s="309"/>
      <c r="AB9383" s="310"/>
    </row>
    <row r="9384" spans="13:28" s="308" customFormat="1" x14ac:dyDescent="0.2">
      <c r="M9384" s="309"/>
      <c r="AB9384" s="310"/>
    </row>
    <row r="9385" spans="13:28" s="308" customFormat="1" x14ac:dyDescent="0.2">
      <c r="M9385" s="309"/>
      <c r="AB9385" s="310"/>
    </row>
    <row r="9386" spans="13:28" s="308" customFormat="1" x14ac:dyDescent="0.2">
      <c r="M9386" s="309"/>
      <c r="AB9386" s="310"/>
    </row>
    <row r="9387" spans="13:28" s="308" customFormat="1" x14ac:dyDescent="0.2">
      <c r="M9387" s="309"/>
      <c r="AB9387" s="310"/>
    </row>
    <row r="9388" spans="13:28" s="308" customFormat="1" x14ac:dyDescent="0.2">
      <c r="M9388" s="309"/>
      <c r="AB9388" s="310"/>
    </row>
    <row r="9389" spans="13:28" s="308" customFormat="1" x14ac:dyDescent="0.2">
      <c r="M9389" s="309"/>
      <c r="AB9389" s="310"/>
    </row>
    <row r="9390" spans="13:28" s="308" customFormat="1" x14ac:dyDescent="0.2">
      <c r="M9390" s="309"/>
      <c r="AB9390" s="310"/>
    </row>
    <row r="9391" spans="13:28" s="308" customFormat="1" x14ac:dyDescent="0.2">
      <c r="M9391" s="309"/>
      <c r="AB9391" s="310"/>
    </row>
    <row r="9392" spans="13:28" s="308" customFormat="1" x14ac:dyDescent="0.2">
      <c r="M9392" s="309"/>
      <c r="AB9392" s="310"/>
    </row>
    <row r="9393" spans="13:28" s="308" customFormat="1" x14ac:dyDescent="0.2">
      <c r="M9393" s="309"/>
      <c r="AB9393" s="310"/>
    </row>
    <row r="9394" spans="13:28" s="308" customFormat="1" x14ac:dyDescent="0.2">
      <c r="M9394" s="309"/>
      <c r="AB9394" s="310"/>
    </row>
    <row r="9395" spans="13:28" s="308" customFormat="1" x14ac:dyDescent="0.2">
      <c r="M9395" s="309"/>
      <c r="AB9395" s="310"/>
    </row>
    <row r="9396" spans="13:28" s="308" customFormat="1" x14ac:dyDescent="0.2">
      <c r="M9396" s="309"/>
      <c r="AB9396" s="310"/>
    </row>
    <row r="9397" spans="13:28" s="308" customFormat="1" x14ac:dyDescent="0.2">
      <c r="M9397" s="309"/>
      <c r="AB9397" s="310"/>
    </row>
    <row r="9398" spans="13:28" s="308" customFormat="1" x14ac:dyDescent="0.2">
      <c r="M9398" s="309"/>
      <c r="AB9398" s="310"/>
    </row>
    <row r="9399" spans="13:28" s="308" customFormat="1" x14ac:dyDescent="0.2">
      <c r="M9399" s="309"/>
      <c r="AB9399" s="310"/>
    </row>
    <row r="9400" spans="13:28" s="308" customFormat="1" x14ac:dyDescent="0.2">
      <c r="M9400" s="309"/>
      <c r="AB9400" s="310"/>
    </row>
    <row r="9401" spans="13:28" s="308" customFormat="1" x14ac:dyDescent="0.2">
      <c r="M9401" s="309"/>
      <c r="AB9401" s="310"/>
    </row>
    <row r="9402" spans="13:28" s="308" customFormat="1" x14ac:dyDescent="0.2">
      <c r="M9402" s="309"/>
      <c r="AB9402" s="310"/>
    </row>
    <row r="9403" spans="13:28" s="308" customFormat="1" x14ac:dyDescent="0.2">
      <c r="M9403" s="309"/>
      <c r="AB9403" s="310"/>
    </row>
    <row r="9404" spans="13:28" s="308" customFormat="1" x14ac:dyDescent="0.2">
      <c r="M9404" s="309"/>
      <c r="AB9404" s="310"/>
    </row>
    <row r="9405" spans="13:28" s="308" customFormat="1" x14ac:dyDescent="0.2">
      <c r="M9405" s="309"/>
      <c r="AB9405" s="310"/>
    </row>
    <row r="9406" spans="13:28" s="308" customFormat="1" x14ac:dyDescent="0.2">
      <c r="M9406" s="309"/>
      <c r="AB9406" s="310"/>
    </row>
    <row r="9407" spans="13:28" s="308" customFormat="1" x14ac:dyDescent="0.2">
      <c r="M9407" s="309"/>
      <c r="AB9407" s="310"/>
    </row>
    <row r="9408" spans="13:28" s="308" customFormat="1" x14ac:dyDescent="0.2">
      <c r="M9408" s="309"/>
      <c r="AB9408" s="310"/>
    </row>
    <row r="9409" spans="13:28" s="308" customFormat="1" x14ac:dyDescent="0.2">
      <c r="M9409" s="309"/>
      <c r="AB9409" s="310"/>
    </row>
    <row r="9410" spans="13:28" s="308" customFormat="1" x14ac:dyDescent="0.2">
      <c r="M9410" s="309"/>
      <c r="AB9410" s="310"/>
    </row>
    <row r="9411" spans="13:28" s="308" customFormat="1" x14ac:dyDescent="0.2">
      <c r="M9411" s="309"/>
      <c r="AB9411" s="310"/>
    </row>
    <row r="9412" spans="13:28" s="308" customFormat="1" x14ac:dyDescent="0.2">
      <c r="M9412" s="309"/>
      <c r="AB9412" s="310"/>
    </row>
    <row r="9413" spans="13:28" s="308" customFormat="1" x14ac:dyDescent="0.2">
      <c r="M9413" s="309"/>
      <c r="AB9413" s="310"/>
    </row>
    <row r="9414" spans="13:28" s="308" customFormat="1" x14ac:dyDescent="0.2">
      <c r="M9414" s="309"/>
      <c r="AB9414" s="310"/>
    </row>
    <row r="9415" spans="13:28" s="308" customFormat="1" x14ac:dyDescent="0.2">
      <c r="M9415" s="309"/>
      <c r="AB9415" s="310"/>
    </row>
    <row r="9416" spans="13:28" s="308" customFormat="1" x14ac:dyDescent="0.2">
      <c r="M9416" s="309"/>
      <c r="AB9416" s="310"/>
    </row>
    <row r="9417" spans="13:28" s="308" customFormat="1" x14ac:dyDescent="0.2">
      <c r="M9417" s="309"/>
      <c r="AB9417" s="310"/>
    </row>
    <row r="9418" spans="13:28" s="308" customFormat="1" x14ac:dyDescent="0.2">
      <c r="M9418" s="309"/>
      <c r="AB9418" s="310"/>
    </row>
    <row r="9419" spans="13:28" s="308" customFormat="1" x14ac:dyDescent="0.2">
      <c r="M9419" s="309"/>
      <c r="AB9419" s="310"/>
    </row>
    <row r="9420" spans="13:28" s="308" customFormat="1" x14ac:dyDescent="0.2">
      <c r="M9420" s="309"/>
      <c r="AB9420" s="310"/>
    </row>
    <row r="9421" spans="13:28" s="308" customFormat="1" x14ac:dyDescent="0.2">
      <c r="M9421" s="309"/>
      <c r="AB9421" s="310"/>
    </row>
    <row r="9422" spans="13:28" s="308" customFormat="1" x14ac:dyDescent="0.2">
      <c r="M9422" s="309"/>
      <c r="AB9422" s="310"/>
    </row>
    <row r="9423" spans="13:28" s="308" customFormat="1" x14ac:dyDescent="0.2">
      <c r="M9423" s="309"/>
      <c r="AB9423" s="310"/>
    </row>
    <row r="9424" spans="13:28" s="308" customFormat="1" x14ac:dyDescent="0.2">
      <c r="M9424" s="309"/>
      <c r="AB9424" s="310"/>
    </row>
    <row r="9425" spans="13:28" s="308" customFormat="1" x14ac:dyDescent="0.2">
      <c r="M9425" s="309"/>
      <c r="AB9425" s="310"/>
    </row>
    <row r="9426" spans="13:28" s="308" customFormat="1" x14ac:dyDescent="0.2">
      <c r="M9426" s="309"/>
      <c r="AB9426" s="310"/>
    </row>
    <row r="9427" spans="13:28" s="308" customFormat="1" x14ac:dyDescent="0.2">
      <c r="M9427" s="309"/>
      <c r="AB9427" s="310"/>
    </row>
    <row r="9428" spans="13:28" s="308" customFormat="1" x14ac:dyDescent="0.2">
      <c r="M9428" s="309"/>
      <c r="AB9428" s="310"/>
    </row>
    <row r="9429" spans="13:28" s="308" customFormat="1" x14ac:dyDescent="0.2">
      <c r="M9429" s="309"/>
      <c r="AB9429" s="310"/>
    </row>
    <row r="9430" spans="13:28" s="308" customFormat="1" x14ac:dyDescent="0.2">
      <c r="M9430" s="309"/>
      <c r="AB9430" s="310"/>
    </row>
    <row r="9431" spans="13:28" s="308" customFormat="1" x14ac:dyDescent="0.2">
      <c r="M9431" s="309"/>
      <c r="AB9431" s="310"/>
    </row>
    <row r="9432" spans="13:28" s="308" customFormat="1" x14ac:dyDescent="0.2">
      <c r="M9432" s="309"/>
      <c r="AB9432" s="310"/>
    </row>
    <row r="9433" spans="13:28" s="308" customFormat="1" x14ac:dyDescent="0.2">
      <c r="M9433" s="309"/>
      <c r="AB9433" s="310"/>
    </row>
    <row r="9434" spans="13:28" s="308" customFormat="1" x14ac:dyDescent="0.2">
      <c r="M9434" s="309"/>
      <c r="AB9434" s="310"/>
    </row>
    <row r="9435" spans="13:28" s="308" customFormat="1" x14ac:dyDescent="0.2">
      <c r="M9435" s="309"/>
      <c r="AB9435" s="310"/>
    </row>
    <row r="9436" spans="13:28" s="308" customFormat="1" x14ac:dyDescent="0.2">
      <c r="M9436" s="309"/>
      <c r="AB9436" s="310"/>
    </row>
    <row r="9437" spans="13:28" s="308" customFormat="1" x14ac:dyDescent="0.2">
      <c r="M9437" s="309"/>
      <c r="AB9437" s="310"/>
    </row>
    <row r="9438" spans="13:28" s="308" customFormat="1" x14ac:dyDescent="0.2">
      <c r="M9438" s="309"/>
      <c r="AB9438" s="310"/>
    </row>
    <row r="9439" spans="13:28" s="308" customFormat="1" x14ac:dyDescent="0.2">
      <c r="M9439" s="309"/>
      <c r="AB9439" s="310"/>
    </row>
    <row r="9440" spans="13:28" s="308" customFormat="1" x14ac:dyDescent="0.2">
      <c r="M9440" s="309"/>
      <c r="AB9440" s="310"/>
    </row>
    <row r="9441" spans="13:28" s="308" customFormat="1" x14ac:dyDescent="0.2">
      <c r="M9441" s="309"/>
      <c r="AB9441" s="310"/>
    </row>
    <row r="9442" spans="13:28" s="308" customFormat="1" x14ac:dyDescent="0.2">
      <c r="M9442" s="309"/>
      <c r="AB9442" s="310"/>
    </row>
    <row r="9443" spans="13:28" s="308" customFormat="1" x14ac:dyDescent="0.2">
      <c r="M9443" s="309"/>
      <c r="AB9443" s="310"/>
    </row>
    <row r="9444" spans="13:28" s="308" customFormat="1" x14ac:dyDescent="0.2">
      <c r="M9444" s="309"/>
      <c r="AB9444" s="310"/>
    </row>
    <row r="9445" spans="13:28" s="308" customFormat="1" x14ac:dyDescent="0.2">
      <c r="M9445" s="309"/>
      <c r="AB9445" s="310"/>
    </row>
    <row r="9446" spans="13:28" s="308" customFormat="1" x14ac:dyDescent="0.2">
      <c r="M9446" s="309"/>
      <c r="AB9446" s="310"/>
    </row>
    <row r="9447" spans="13:28" s="308" customFormat="1" x14ac:dyDescent="0.2">
      <c r="M9447" s="309"/>
      <c r="AB9447" s="310"/>
    </row>
    <row r="9448" spans="13:28" s="308" customFormat="1" x14ac:dyDescent="0.2">
      <c r="M9448" s="309"/>
      <c r="AB9448" s="310"/>
    </row>
    <row r="9449" spans="13:28" s="308" customFormat="1" x14ac:dyDescent="0.2">
      <c r="M9449" s="309"/>
      <c r="AB9449" s="310"/>
    </row>
    <row r="9450" spans="13:28" s="308" customFormat="1" x14ac:dyDescent="0.2">
      <c r="M9450" s="309"/>
      <c r="AB9450" s="310"/>
    </row>
    <row r="9451" spans="13:28" s="308" customFormat="1" x14ac:dyDescent="0.2">
      <c r="M9451" s="309"/>
      <c r="AB9451" s="310"/>
    </row>
    <row r="9452" spans="13:28" s="308" customFormat="1" x14ac:dyDescent="0.2">
      <c r="M9452" s="309"/>
      <c r="AB9452" s="310"/>
    </row>
    <row r="9453" spans="13:28" s="308" customFormat="1" x14ac:dyDescent="0.2">
      <c r="M9453" s="309"/>
      <c r="AB9453" s="310"/>
    </row>
    <row r="9454" spans="13:28" s="308" customFormat="1" x14ac:dyDescent="0.2">
      <c r="M9454" s="309"/>
      <c r="AB9454" s="310"/>
    </row>
    <row r="9455" spans="13:28" s="308" customFormat="1" x14ac:dyDescent="0.2">
      <c r="M9455" s="309"/>
      <c r="AB9455" s="310"/>
    </row>
    <row r="9456" spans="13:28" s="308" customFormat="1" x14ac:dyDescent="0.2">
      <c r="M9456" s="309"/>
      <c r="AB9456" s="310"/>
    </row>
    <row r="9457" spans="13:28" s="308" customFormat="1" x14ac:dyDescent="0.2">
      <c r="M9457" s="309"/>
      <c r="AB9457" s="310"/>
    </row>
    <row r="9458" spans="13:28" s="308" customFormat="1" x14ac:dyDescent="0.2">
      <c r="M9458" s="309"/>
      <c r="AB9458" s="310"/>
    </row>
    <row r="9459" spans="13:28" s="308" customFormat="1" x14ac:dyDescent="0.2">
      <c r="M9459" s="309"/>
      <c r="AB9459" s="310"/>
    </row>
    <row r="9460" spans="13:28" s="308" customFormat="1" x14ac:dyDescent="0.2">
      <c r="M9460" s="309"/>
      <c r="AB9460" s="310"/>
    </row>
    <row r="9461" spans="13:28" s="308" customFormat="1" x14ac:dyDescent="0.2">
      <c r="M9461" s="309"/>
      <c r="AB9461" s="310"/>
    </row>
    <row r="9462" spans="13:28" s="308" customFormat="1" x14ac:dyDescent="0.2">
      <c r="M9462" s="309"/>
      <c r="AB9462" s="310"/>
    </row>
    <row r="9463" spans="13:28" s="308" customFormat="1" x14ac:dyDescent="0.2">
      <c r="M9463" s="309"/>
      <c r="AB9463" s="310"/>
    </row>
    <row r="9464" spans="13:28" s="308" customFormat="1" x14ac:dyDescent="0.2">
      <c r="M9464" s="309"/>
      <c r="AB9464" s="310"/>
    </row>
    <row r="9465" spans="13:28" s="308" customFormat="1" x14ac:dyDescent="0.2">
      <c r="M9465" s="309"/>
      <c r="AB9465" s="310"/>
    </row>
    <row r="9466" spans="13:28" s="308" customFormat="1" x14ac:dyDescent="0.2">
      <c r="M9466" s="309"/>
      <c r="AB9466" s="310"/>
    </row>
    <row r="9467" spans="13:28" s="308" customFormat="1" x14ac:dyDescent="0.2">
      <c r="M9467" s="309"/>
      <c r="AB9467" s="310"/>
    </row>
    <row r="9468" spans="13:28" s="308" customFormat="1" x14ac:dyDescent="0.2">
      <c r="M9468" s="309"/>
      <c r="AB9468" s="310"/>
    </row>
    <row r="9469" spans="13:28" s="308" customFormat="1" x14ac:dyDescent="0.2">
      <c r="M9469" s="309"/>
      <c r="AB9469" s="310"/>
    </row>
    <row r="9470" spans="13:28" s="308" customFormat="1" x14ac:dyDescent="0.2">
      <c r="M9470" s="309"/>
      <c r="AB9470" s="310"/>
    </row>
    <row r="9471" spans="13:28" s="308" customFormat="1" x14ac:dyDescent="0.2">
      <c r="M9471" s="309"/>
      <c r="AB9471" s="310"/>
    </row>
    <row r="9472" spans="13:28" s="308" customFormat="1" x14ac:dyDescent="0.2">
      <c r="M9472" s="309"/>
      <c r="AB9472" s="310"/>
    </row>
    <row r="9473" spans="13:28" s="308" customFormat="1" x14ac:dyDescent="0.2">
      <c r="M9473" s="309"/>
      <c r="AB9473" s="310"/>
    </row>
    <row r="9474" spans="13:28" s="308" customFormat="1" x14ac:dyDescent="0.2">
      <c r="M9474" s="309"/>
      <c r="AB9474" s="310"/>
    </row>
    <row r="9475" spans="13:28" s="308" customFormat="1" x14ac:dyDescent="0.2">
      <c r="M9475" s="309"/>
      <c r="AB9475" s="310"/>
    </row>
    <row r="9476" spans="13:28" s="308" customFormat="1" x14ac:dyDescent="0.2">
      <c r="M9476" s="309"/>
      <c r="AB9476" s="310"/>
    </row>
    <row r="9477" spans="13:28" s="308" customFormat="1" x14ac:dyDescent="0.2">
      <c r="M9477" s="309"/>
      <c r="AB9477" s="310"/>
    </row>
    <row r="9478" spans="13:28" s="308" customFormat="1" x14ac:dyDescent="0.2">
      <c r="M9478" s="309"/>
      <c r="AB9478" s="310"/>
    </row>
    <row r="9479" spans="13:28" s="308" customFormat="1" x14ac:dyDescent="0.2">
      <c r="M9479" s="309"/>
      <c r="AB9479" s="310"/>
    </row>
    <row r="9480" spans="13:28" s="308" customFormat="1" x14ac:dyDescent="0.2">
      <c r="M9480" s="309"/>
      <c r="AB9480" s="310"/>
    </row>
    <row r="9481" spans="13:28" s="308" customFormat="1" x14ac:dyDescent="0.2">
      <c r="M9481" s="309"/>
      <c r="AB9481" s="310"/>
    </row>
    <row r="9482" spans="13:28" s="308" customFormat="1" x14ac:dyDescent="0.2">
      <c r="M9482" s="309"/>
      <c r="AB9482" s="310"/>
    </row>
    <row r="9483" spans="13:28" s="308" customFormat="1" x14ac:dyDescent="0.2">
      <c r="M9483" s="309"/>
      <c r="AB9483" s="310"/>
    </row>
    <row r="9484" spans="13:28" s="308" customFormat="1" x14ac:dyDescent="0.2">
      <c r="M9484" s="309"/>
      <c r="AB9484" s="310"/>
    </row>
    <row r="9485" spans="13:28" s="308" customFormat="1" x14ac:dyDescent="0.2">
      <c r="M9485" s="309"/>
      <c r="AB9485" s="310"/>
    </row>
    <row r="9486" spans="13:28" s="308" customFormat="1" x14ac:dyDescent="0.2">
      <c r="M9486" s="309"/>
      <c r="AB9486" s="310"/>
    </row>
    <row r="9487" spans="13:28" s="308" customFormat="1" x14ac:dyDescent="0.2">
      <c r="M9487" s="309"/>
      <c r="AB9487" s="310"/>
    </row>
    <row r="9488" spans="13:28" s="308" customFormat="1" x14ac:dyDescent="0.2">
      <c r="M9488" s="309"/>
      <c r="AB9488" s="310"/>
    </row>
    <row r="9489" spans="13:28" s="308" customFormat="1" x14ac:dyDescent="0.2">
      <c r="M9489" s="309"/>
      <c r="AB9489" s="310"/>
    </row>
    <row r="9490" spans="13:28" s="308" customFormat="1" x14ac:dyDescent="0.2">
      <c r="M9490" s="309"/>
      <c r="AB9490" s="310"/>
    </row>
    <row r="9491" spans="13:28" s="308" customFormat="1" x14ac:dyDescent="0.2">
      <c r="M9491" s="309"/>
      <c r="AB9491" s="310"/>
    </row>
    <row r="9492" spans="13:28" s="308" customFormat="1" x14ac:dyDescent="0.2">
      <c r="M9492" s="309"/>
      <c r="AB9492" s="310"/>
    </row>
    <row r="9493" spans="13:28" s="308" customFormat="1" x14ac:dyDescent="0.2">
      <c r="M9493" s="309"/>
      <c r="AB9493" s="310"/>
    </row>
    <row r="9494" spans="13:28" s="308" customFormat="1" x14ac:dyDescent="0.2">
      <c r="M9494" s="309"/>
      <c r="AB9494" s="310"/>
    </row>
    <row r="9495" spans="13:28" s="308" customFormat="1" x14ac:dyDescent="0.2">
      <c r="M9495" s="309"/>
      <c r="AB9495" s="310"/>
    </row>
    <row r="9496" spans="13:28" s="308" customFormat="1" x14ac:dyDescent="0.2">
      <c r="M9496" s="309"/>
      <c r="AB9496" s="310"/>
    </row>
    <row r="9497" spans="13:28" s="308" customFormat="1" x14ac:dyDescent="0.2">
      <c r="M9497" s="309"/>
      <c r="AB9497" s="310"/>
    </row>
    <row r="9498" spans="13:28" s="308" customFormat="1" x14ac:dyDescent="0.2">
      <c r="M9498" s="309"/>
      <c r="AB9498" s="310"/>
    </row>
    <row r="9499" spans="13:28" s="308" customFormat="1" x14ac:dyDescent="0.2">
      <c r="M9499" s="309"/>
      <c r="AB9499" s="310"/>
    </row>
    <row r="9500" spans="13:28" s="308" customFormat="1" x14ac:dyDescent="0.2">
      <c r="M9500" s="309"/>
      <c r="AB9500" s="310"/>
    </row>
    <row r="9501" spans="13:28" s="308" customFormat="1" x14ac:dyDescent="0.2">
      <c r="M9501" s="309"/>
      <c r="AB9501" s="310"/>
    </row>
    <row r="9502" spans="13:28" s="308" customFormat="1" x14ac:dyDescent="0.2">
      <c r="M9502" s="309"/>
      <c r="AB9502" s="310"/>
    </row>
    <row r="9503" spans="13:28" s="308" customFormat="1" x14ac:dyDescent="0.2">
      <c r="M9503" s="309"/>
      <c r="AB9503" s="310"/>
    </row>
    <row r="9504" spans="13:28" s="308" customFormat="1" x14ac:dyDescent="0.2">
      <c r="M9504" s="309"/>
      <c r="AB9504" s="310"/>
    </row>
    <row r="9505" spans="13:28" s="308" customFormat="1" x14ac:dyDescent="0.2">
      <c r="M9505" s="309"/>
      <c r="AB9505" s="310"/>
    </row>
    <row r="9506" spans="13:28" s="308" customFormat="1" x14ac:dyDescent="0.2">
      <c r="M9506" s="309"/>
      <c r="AB9506" s="310"/>
    </row>
    <row r="9507" spans="13:28" s="308" customFormat="1" x14ac:dyDescent="0.2">
      <c r="M9507" s="309"/>
      <c r="AB9507" s="310"/>
    </row>
    <row r="9508" spans="13:28" s="308" customFormat="1" x14ac:dyDescent="0.2">
      <c r="M9508" s="309"/>
      <c r="AB9508" s="310"/>
    </row>
    <row r="9509" spans="13:28" s="308" customFormat="1" x14ac:dyDescent="0.2">
      <c r="M9509" s="309"/>
      <c r="AB9509" s="310"/>
    </row>
    <row r="9510" spans="13:28" s="308" customFormat="1" x14ac:dyDescent="0.2">
      <c r="M9510" s="309"/>
      <c r="AB9510" s="310"/>
    </row>
    <row r="9511" spans="13:28" s="308" customFormat="1" x14ac:dyDescent="0.2">
      <c r="M9511" s="309"/>
      <c r="AB9511" s="310"/>
    </row>
    <row r="9512" spans="13:28" s="308" customFormat="1" x14ac:dyDescent="0.2">
      <c r="M9512" s="309"/>
      <c r="AB9512" s="310"/>
    </row>
    <row r="9513" spans="13:28" s="308" customFormat="1" x14ac:dyDescent="0.2">
      <c r="M9513" s="309"/>
      <c r="AB9513" s="310"/>
    </row>
    <row r="9514" spans="13:28" s="308" customFormat="1" x14ac:dyDescent="0.2">
      <c r="M9514" s="309"/>
      <c r="AB9514" s="310"/>
    </row>
    <row r="9515" spans="13:28" s="308" customFormat="1" x14ac:dyDescent="0.2">
      <c r="M9515" s="309"/>
      <c r="AB9515" s="310"/>
    </row>
    <row r="9516" spans="13:28" s="308" customFormat="1" x14ac:dyDescent="0.2">
      <c r="M9516" s="309"/>
      <c r="AB9516" s="310"/>
    </row>
    <row r="9517" spans="13:28" s="308" customFormat="1" x14ac:dyDescent="0.2">
      <c r="M9517" s="309"/>
      <c r="AB9517" s="310"/>
    </row>
    <row r="9518" spans="13:28" s="308" customFormat="1" x14ac:dyDescent="0.2">
      <c r="M9518" s="309"/>
      <c r="AB9518" s="310"/>
    </row>
    <row r="9519" spans="13:28" s="308" customFormat="1" x14ac:dyDescent="0.2">
      <c r="M9519" s="309"/>
      <c r="AB9519" s="310"/>
    </row>
    <row r="9520" spans="13:28" s="308" customFormat="1" x14ac:dyDescent="0.2">
      <c r="M9520" s="309"/>
      <c r="AB9520" s="310"/>
    </row>
    <row r="9521" spans="13:28" s="308" customFormat="1" x14ac:dyDescent="0.2">
      <c r="M9521" s="309"/>
      <c r="AB9521" s="310"/>
    </row>
    <row r="9522" spans="13:28" s="308" customFormat="1" x14ac:dyDescent="0.2">
      <c r="M9522" s="309"/>
      <c r="AB9522" s="310"/>
    </row>
    <row r="9523" spans="13:28" s="308" customFormat="1" x14ac:dyDescent="0.2">
      <c r="M9523" s="309"/>
      <c r="AB9523" s="310"/>
    </row>
    <row r="9524" spans="13:28" s="308" customFormat="1" x14ac:dyDescent="0.2">
      <c r="M9524" s="309"/>
      <c r="AB9524" s="310"/>
    </row>
    <row r="9525" spans="13:28" s="308" customFormat="1" x14ac:dyDescent="0.2">
      <c r="M9525" s="309"/>
      <c r="AB9525" s="310"/>
    </row>
    <row r="9526" spans="13:28" s="308" customFormat="1" x14ac:dyDescent="0.2">
      <c r="M9526" s="309"/>
      <c r="AB9526" s="310"/>
    </row>
    <row r="9527" spans="13:28" s="308" customFormat="1" x14ac:dyDescent="0.2">
      <c r="M9527" s="309"/>
      <c r="AB9527" s="310"/>
    </row>
    <row r="9528" spans="13:28" s="308" customFormat="1" x14ac:dyDescent="0.2">
      <c r="M9528" s="309"/>
      <c r="AB9528" s="310"/>
    </row>
    <row r="9529" spans="13:28" s="308" customFormat="1" x14ac:dyDescent="0.2">
      <c r="M9529" s="309"/>
      <c r="AB9529" s="310"/>
    </row>
    <row r="9530" spans="13:28" s="308" customFormat="1" x14ac:dyDescent="0.2">
      <c r="M9530" s="309"/>
      <c r="AB9530" s="310"/>
    </row>
    <row r="9531" spans="13:28" s="308" customFormat="1" x14ac:dyDescent="0.2">
      <c r="M9531" s="309"/>
      <c r="AB9531" s="310"/>
    </row>
    <row r="9532" spans="13:28" s="308" customFormat="1" x14ac:dyDescent="0.2">
      <c r="M9532" s="309"/>
      <c r="AB9532" s="310"/>
    </row>
    <row r="9533" spans="13:28" s="308" customFormat="1" x14ac:dyDescent="0.2">
      <c r="M9533" s="309"/>
      <c r="AB9533" s="310"/>
    </row>
    <row r="9534" spans="13:28" s="308" customFormat="1" x14ac:dyDescent="0.2">
      <c r="M9534" s="309"/>
      <c r="AB9534" s="310"/>
    </row>
    <row r="9535" spans="13:28" s="308" customFormat="1" x14ac:dyDescent="0.2">
      <c r="M9535" s="309"/>
      <c r="AB9535" s="310"/>
    </row>
    <row r="9536" spans="13:28" s="308" customFormat="1" x14ac:dyDescent="0.2">
      <c r="M9536" s="309"/>
      <c r="AB9536" s="310"/>
    </row>
    <row r="9537" spans="13:28" s="308" customFormat="1" x14ac:dyDescent="0.2">
      <c r="M9537" s="309"/>
      <c r="AB9537" s="310"/>
    </row>
    <row r="9538" spans="13:28" s="308" customFormat="1" x14ac:dyDescent="0.2">
      <c r="M9538" s="309"/>
      <c r="AB9538" s="310"/>
    </row>
    <row r="9539" spans="13:28" s="308" customFormat="1" x14ac:dyDescent="0.2">
      <c r="M9539" s="309"/>
      <c r="AB9539" s="310"/>
    </row>
    <row r="9540" spans="13:28" s="308" customFormat="1" x14ac:dyDescent="0.2">
      <c r="M9540" s="309"/>
      <c r="AB9540" s="310"/>
    </row>
    <row r="9541" spans="13:28" s="308" customFormat="1" x14ac:dyDescent="0.2">
      <c r="M9541" s="309"/>
      <c r="AB9541" s="310"/>
    </row>
    <row r="9542" spans="13:28" s="308" customFormat="1" x14ac:dyDescent="0.2">
      <c r="M9542" s="309"/>
      <c r="AB9542" s="310"/>
    </row>
    <row r="9543" spans="13:28" s="308" customFormat="1" x14ac:dyDescent="0.2">
      <c r="M9543" s="309"/>
      <c r="AB9543" s="310"/>
    </row>
    <row r="9544" spans="13:28" s="308" customFormat="1" x14ac:dyDescent="0.2">
      <c r="M9544" s="309"/>
      <c r="AB9544" s="310"/>
    </row>
    <row r="9545" spans="13:28" s="308" customFormat="1" x14ac:dyDescent="0.2">
      <c r="M9545" s="309"/>
      <c r="AB9545" s="310"/>
    </row>
    <row r="9546" spans="13:28" s="308" customFormat="1" x14ac:dyDescent="0.2">
      <c r="M9546" s="309"/>
      <c r="AB9546" s="310"/>
    </row>
    <row r="9547" spans="13:28" s="308" customFormat="1" x14ac:dyDescent="0.2">
      <c r="M9547" s="309"/>
      <c r="AB9547" s="310"/>
    </row>
    <row r="9548" spans="13:28" s="308" customFormat="1" x14ac:dyDescent="0.2">
      <c r="M9548" s="309"/>
      <c r="AB9548" s="310"/>
    </row>
    <row r="9549" spans="13:28" s="308" customFormat="1" x14ac:dyDescent="0.2">
      <c r="M9549" s="309"/>
      <c r="AB9549" s="310"/>
    </row>
    <row r="9550" spans="13:28" s="308" customFormat="1" x14ac:dyDescent="0.2">
      <c r="M9550" s="309"/>
      <c r="AB9550" s="310"/>
    </row>
    <row r="9551" spans="13:28" s="308" customFormat="1" x14ac:dyDescent="0.2">
      <c r="M9551" s="309"/>
      <c r="AB9551" s="310"/>
    </row>
    <row r="9552" spans="13:28" s="308" customFormat="1" x14ac:dyDescent="0.2">
      <c r="M9552" s="309"/>
      <c r="AB9552" s="310"/>
    </row>
    <row r="9553" spans="13:28" s="308" customFormat="1" x14ac:dyDescent="0.2">
      <c r="M9553" s="309"/>
      <c r="AB9553" s="310"/>
    </row>
    <row r="9554" spans="13:28" s="308" customFormat="1" x14ac:dyDescent="0.2">
      <c r="M9554" s="309"/>
      <c r="AB9554" s="310"/>
    </row>
    <row r="9555" spans="13:28" s="308" customFormat="1" x14ac:dyDescent="0.2">
      <c r="M9555" s="309"/>
      <c r="AB9555" s="310"/>
    </row>
    <row r="9556" spans="13:28" s="308" customFormat="1" x14ac:dyDescent="0.2">
      <c r="M9556" s="309"/>
      <c r="AB9556" s="310"/>
    </row>
    <row r="9557" spans="13:28" s="308" customFormat="1" x14ac:dyDescent="0.2">
      <c r="M9557" s="309"/>
      <c r="AB9557" s="310"/>
    </row>
    <row r="9558" spans="13:28" s="308" customFormat="1" x14ac:dyDescent="0.2">
      <c r="M9558" s="309"/>
      <c r="AB9558" s="310"/>
    </row>
    <row r="9559" spans="13:28" s="308" customFormat="1" x14ac:dyDescent="0.2">
      <c r="M9559" s="309"/>
      <c r="AB9559" s="310"/>
    </row>
    <row r="9560" spans="13:28" s="308" customFormat="1" x14ac:dyDescent="0.2">
      <c r="M9560" s="309"/>
      <c r="AB9560" s="310"/>
    </row>
    <row r="9561" spans="13:28" s="308" customFormat="1" x14ac:dyDescent="0.2">
      <c r="M9561" s="309"/>
      <c r="AB9561" s="310"/>
    </row>
    <row r="9562" spans="13:28" s="308" customFormat="1" x14ac:dyDescent="0.2">
      <c r="M9562" s="309"/>
      <c r="AB9562" s="310"/>
    </row>
    <row r="9563" spans="13:28" s="308" customFormat="1" x14ac:dyDescent="0.2">
      <c r="M9563" s="309"/>
      <c r="AB9563" s="310"/>
    </row>
    <row r="9564" spans="13:28" s="308" customFormat="1" x14ac:dyDescent="0.2">
      <c r="M9564" s="309"/>
      <c r="AB9564" s="310"/>
    </row>
    <row r="9565" spans="13:28" s="308" customFormat="1" x14ac:dyDescent="0.2">
      <c r="M9565" s="309"/>
      <c r="AB9565" s="310"/>
    </row>
    <row r="9566" spans="13:28" s="308" customFormat="1" x14ac:dyDescent="0.2">
      <c r="M9566" s="309"/>
      <c r="AB9566" s="310"/>
    </row>
    <row r="9567" spans="13:28" s="308" customFormat="1" x14ac:dyDescent="0.2">
      <c r="M9567" s="309"/>
      <c r="AB9567" s="310"/>
    </row>
    <row r="9568" spans="13:28" s="308" customFormat="1" x14ac:dyDescent="0.2">
      <c r="M9568" s="309"/>
      <c r="AB9568" s="310"/>
    </row>
    <row r="9569" spans="13:28" s="308" customFormat="1" x14ac:dyDescent="0.2">
      <c r="M9569" s="309"/>
      <c r="AB9569" s="310"/>
    </row>
    <row r="9570" spans="13:28" s="308" customFormat="1" x14ac:dyDescent="0.2">
      <c r="M9570" s="309"/>
      <c r="AB9570" s="310"/>
    </row>
    <row r="9571" spans="13:28" s="308" customFormat="1" x14ac:dyDescent="0.2">
      <c r="M9571" s="309"/>
      <c r="AB9571" s="310"/>
    </row>
    <row r="9572" spans="13:28" s="308" customFormat="1" x14ac:dyDescent="0.2">
      <c r="M9572" s="309"/>
      <c r="AB9572" s="310"/>
    </row>
    <row r="9573" spans="13:28" s="308" customFormat="1" x14ac:dyDescent="0.2">
      <c r="M9573" s="309"/>
      <c r="AB9573" s="310"/>
    </row>
    <row r="9574" spans="13:28" s="308" customFormat="1" x14ac:dyDescent="0.2">
      <c r="M9574" s="309"/>
      <c r="AB9574" s="310"/>
    </row>
    <row r="9575" spans="13:28" s="308" customFormat="1" x14ac:dyDescent="0.2">
      <c r="M9575" s="309"/>
      <c r="AB9575" s="310"/>
    </row>
    <row r="9576" spans="13:28" s="308" customFormat="1" x14ac:dyDescent="0.2">
      <c r="M9576" s="309"/>
      <c r="AB9576" s="310"/>
    </row>
    <row r="9577" spans="13:28" s="308" customFormat="1" x14ac:dyDescent="0.2">
      <c r="M9577" s="309"/>
      <c r="AB9577" s="310"/>
    </row>
    <row r="9578" spans="13:28" s="308" customFormat="1" x14ac:dyDescent="0.2">
      <c r="M9578" s="309"/>
      <c r="AB9578" s="310"/>
    </row>
    <row r="9579" spans="13:28" s="308" customFormat="1" x14ac:dyDescent="0.2">
      <c r="M9579" s="309"/>
      <c r="AB9579" s="310"/>
    </row>
    <row r="9580" spans="13:28" s="308" customFormat="1" x14ac:dyDescent="0.2">
      <c r="M9580" s="309"/>
      <c r="AB9580" s="310"/>
    </row>
    <row r="9581" spans="13:28" s="308" customFormat="1" x14ac:dyDescent="0.2">
      <c r="M9581" s="309"/>
      <c r="AB9581" s="310"/>
    </row>
    <row r="9582" spans="13:28" s="308" customFormat="1" x14ac:dyDescent="0.2">
      <c r="M9582" s="309"/>
      <c r="AB9582" s="310"/>
    </row>
    <row r="9583" spans="13:28" s="308" customFormat="1" x14ac:dyDescent="0.2">
      <c r="M9583" s="309"/>
      <c r="AB9583" s="310"/>
    </row>
    <row r="9584" spans="13:28" s="308" customFormat="1" x14ac:dyDescent="0.2">
      <c r="M9584" s="309"/>
      <c r="AB9584" s="310"/>
    </row>
    <row r="9585" spans="13:28" s="308" customFormat="1" x14ac:dyDescent="0.2">
      <c r="M9585" s="309"/>
      <c r="AB9585" s="310"/>
    </row>
    <row r="9586" spans="13:28" s="308" customFormat="1" x14ac:dyDescent="0.2">
      <c r="M9586" s="309"/>
      <c r="AB9586" s="310"/>
    </row>
    <row r="9587" spans="13:28" s="308" customFormat="1" x14ac:dyDescent="0.2">
      <c r="M9587" s="309"/>
      <c r="AB9587" s="310"/>
    </row>
    <row r="9588" spans="13:28" s="308" customFormat="1" x14ac:dyDescent="0.2">
      <c r="M9588" s="309"/>
      <c r="AB9588" s="310"/>
    </row>
    <row r="9589" spans="13:28" s="308" customFormat="1" x14ac:dyDescent="0.2">
      <c r="M9589" s="309"/>
      <c r="AB9589" s="310"/>
    </row>
    <row r="9590" spans="13:28" s="308" customFormat="1" x14ac:dyDescent="0.2">
      <c r="M9590" s="309"/>
      <c r="AB9590" s="310"/>
    </row>
    <row r="9591" spans="13:28" s="308" customFormat="1" x14ac:dyDescent="0.2">
      <c r="M9591" s="309"/>
      <c r="AB9591" s="310"/>
    </row>
    <row r="9592" spans="13:28" s="308" customFormat="1" x14ac:dyDescent="0.2">
      <c r="M9592" s="309"/>
      <c r="AB9592" s="310"/>
    </row>
    <row r="9593" spans="13:28" s="308" customFormat="1" x14ac:dyDescent="0.2">
      <c r="M9593" s="309"/>
      <c r="AB9593" s="310"/>
    </row>
    <row r="9594" spans="13:28" s="308" customFormat="1" x14ac:dyDescent="0.2">
      <c r="M9594" s="309"/>
      <c r="AB9594" s="310"/>
    </row>
    <row r="9595" spans="13:28" s="308" customFormat="1" x14ac:dyDescent="0.2">
      <c r="M9595" s="309"/>
      <c r="AB9595" s="310"/>
    </row>
    <row r="9596" spans="13:28" s="308" customFormat="1" x14ac:dyDescent="0.2">
      <c r="M9596" s="309"/>
      <c r="AB9596" s="310"/>
    </row>
    <row r="9597" spans="13:28" s="308" customFormat="1" x14ac:dyDescent="0.2">
      <c r="M9597" s="309"/>
      <c r="AB9597" s="310"/>
    </row>
    <row r="9598" spans="13:28" s="308" customFormat="1" x14ac:dyDescent="0.2">
      <c r="M9598" s="309"/>
      <c r="AB9598" s="310"/>
    </row>
    <row r="9599" spans="13:28" s="308" customFormat="1" x14ac:dyDescent="0.2">
      <c r="M9599" s="309"/>
      <c r="AB9599" s="310"/>
    </row>
    <row r="9600" spans="13:28" s="308" customFormat="1" x14ac:dyDescent="0.2">
      <c r="M9600" s="309"/>
      <c r="AB9600" s="310"/>
    </row>
    <row r="9601" spans="13:28" s="308" customFormat="1" x14ac:dyDescent="0.2">
      <c r="M9601" s="309"/>
      <c r="AB9601" s="310"/>
    </row>
    <row r="9602" spans="13:28" s="308" customFormat="1" x14ac:dyDescent="0.2">
      <c r="M9602" s="309"/>
      <c r="AB9602" s="310"/>
    </row>
    <row r="9603" spans="13:28" s="308" customFormat="1" x14ac:dyDescent="0.2">
      <c r="M9603" s="309"/>
      <c r="AB9603" s="310"/>
    </row>
    <row r="9604" spans="13:28" s="308" customFormat="1" x14ac:dyDescent="0.2">
      <c r="M9604" s="309"/>
      <c r="AB9604" s="310"/>
    </row>
    <row r="9605" spans="13:28" s="308" customFormat="1" x14ac:dyDescent="0.2">
      <c r="M9605" s="309"/>
      <c r="AB9605" s="310"/>
    </row>
    <row r="9606" spans="13:28" s="308" customFormat="1" x14ac:dyDescent="0.2">
      <c r="M9606" s="309"/>
      <c r="AB9606" s="310"/>
    </row>
    <row r="9607" spans="13:28" s="308" customFormat="1" x14ac:dyDescent="0.2">
      <c r="M9607" s="309"/>
      <c r="AB9607" s="310"/>
    </row>
    <row r="9608" spans="13:28" s="308" customFormat="1" x14ac:dyDescent="0.2">
      <c r="M9608" s="309"/>
      <c r="AB9608" s="310"/>
    </row>
    <row r="9609" spans="13:28" s="308" customFormat="1" x14ac:dyDescent="0.2">
      <c r="M9609" s="309"/>
      <c r="AB9609" s="310"/>
    </row>
    <row r="9610" spans="13:28" s="308" customFormat="1" x14ac:dyDescent="0.2">
      <c r="M9610" s="309"/>
      <c r="AB9610" s="310"/>
    </row>
    <row r="9611" spans="13:28" s="308" customFormat="1" x14ac:dyDescent="0.2">
      <c r="M9611" s="309"/>
      <c r="AB9611" s="310"/>
    </row>
    <row r="9612" spans="13:28" s="308" customFormat="1" x14ac:dyDescent="0.2">
      <c r="M9612" s="309"/>
      <c r="AB9612" s="310"/>
    </row>
    <row r="9613" spans="13:28" s="308" customFormat="1" x14ac:dyDescent="0.2">
      <c r="M9613" s="309"/>
      <c r="AB9613" s="310"/>
    </row>
    <row r="9614" spans="13:28" s="308" customFormat="1" x14ac:dyDescent="0.2">
      <c r="M9614" s="309"/>
      <c r="AB9614" s="310"/>
    </row>
    <row r="9615" spans="13:28" s="308" customFormat="1" x14ac:dyDescent="0.2">
      <c r="M9615" s="309"/>
      <c r="AB9615" s="310"/>
    </row>
    <row r="9616" spans="13:28" s="308" customFormat="1" x14ac:dyDescent="0.2">
      <c r="M9616" s="309"/>
      <c r="AB9616" s="310"/>
    </row>
    <row r="9617" spans="13:28" s="308" customFormat="1" x14ac:dyDescent="0.2">
      <c r="M9617" s="309"/>
      <c r="AB9617" s="310"/>
    </row>
    <row r="9618" spans="13:28" s="308" customFormat="1" x14ac:dyDescent="0.2">
      <c r="M9618" s="309"/>
      <c r="AB9618" s="310"/>
    </row>
    <row r="9619" spans="13:28" s="308" customFormat="1" x14ac:dyDescent="0.2">
      <c r="M9619" s="309"/>
      <c r="AB9619" s="310"/>
    </row>
    <row r="9620" spans="13:28" s="308" customFormat="1" x14ac:dyDescent="0.2">
      <c r="M9620" s="309"/>
      <c r="AB9620" s="310"/>
    </row>
    <row r="9621" spans="13:28" s="308" customFormat="1" x14ac:dyDescent="0.2">
      <c r="M9621" s="309"/>
      <c r="AB9621" s="310"/>
    </row>
    <row r="9622" spans="13:28" s="308" customFormat="1" x14ac:dyDescent="0.2">
      <c r="M9622" s="309"/>
      <c r="AB9622" s="310"/>
    </row>
    <row r="9623" spans="13:28" s="308" customFormat="1" x14ac:dyDescent="0.2">
      <c r="M9623" s="309"/>
      <c r="AB9623" s="310"/>
    </row>
    <row r="9624" spans="13:28" s="308" customFormat="1" x14ac:dyDescent="0.2">
      <c r="M9624" s="309"/>
      <c r="AB9624" s="310"/>
    </row>
    <row r="9625" spans="13:28" s="308" customFormat="1" x14ac:dyDescent="0.2">
      <c r="M9625" s="309"/>
      <c r="AB9625" s="310"/>
    </row>
    <row r="9626" spans="13:28" s="308" customFormat="1" x14ac:dyDescent="0.2">
      <c r="M9626" s="309"/>
      <c r="AB9626" s="310"/>
    </row>
    <row r="9627" spans="13:28" s="308" customFormat="1" x14ac:dyDescent="0.2">
      <c r="M9627" s="309"/>
      <c r="AB9627" s="310"/>
    </row>
    <row r="9628" spans="13:28" s="308" customFormat="1" x14ac:dyDescent="0.2">
      <c r="M9628" s="309"/>
      <c r="AB9628" s="310"/>
    </row>
    <row r="9629" spans="13:28" s="308" customFormat="1" x14ac:dyDescent="0.2">
      <c r="M9629" s="309"/>
      <c r="AB9629" s="310"/>
    </row>
    <row r="9630" spans="13:28" s="308" customFormat="1" x14ac:dyDescent="0.2">
      <c r="M9630" s="309"/>
      <c r="AB9630" s="310"/>
    </row>
    <row r="9631" spans="13:28" s="308" customFormat="1" x14ac:dyDescent="0.2">
      <c r="M9631" s="309"/>
      <c r="AB9631" s="310"/>
    </row>
    <row r="9632" spans="13:28" s="308" customFormat="1" x14ac:dyDescent="0.2">
      <c r="M9632" s="309"/>
      <c r="AB9632" s="310"/>
    </row>
    <row r="9633" spans="13:28" s="308" customFormat="1" x14ac:dyDescent="0.2">
      <c r="M9633" s="309"/>
      <c r="AB9633" s="310"/>
    </row>
    <row r="9634" spans="13:28" s="308" customFormat="1" x14ac:dyDescent="0.2">
      <c r="M9634" s="309"/>
      <c r="AB9634" s="310"/>
    </row>
    <row r="9635" spans="13:28" s="308" customFormat="1" x14ac:dyDescent="0.2">
      <c r="M9635" s="309"/>
      <c r="AB9635" s="310"/>
    </row>
    <row r="9636" spans="13:28" s="308" customFormat="1" x14ac:dyDescent="0.2">
      <c r="M9636" s="309"/>
      <c r="AB9636" s="310"/>
    </row>
    <row r="9637" spans="13:28" s="308" customFormat="1" x14ac:dyDescent="0.2">
      <c r="M9637" s="309"/>
      <c r="AB9637" s="310"/>
    </row>
    <row r="9638" spans="13:28" s="308" customFormat="1" x14ac:dyDescent="0.2">
      <c r="M9638" s="309"/>
      <c r="AB9638" s="310"/>
    </row>
    <row r="9639" spans="13:28" s="308" customFormat="1" x14ac:dyDescent="0.2">
      <c r="M9639" s="309"/>
      <c r="AB9639" s="310"/>
    </row>
    <row r="9640" spans="13:28" s="308" customFormat="1" x14ac:dyDescent="0.2">
      <c r="M9640" s="309"/>
      <c r="AB9640" s="310"/>
    </row>
    <row r="9641" spans="13:28" s="308" customFormat="1" x14ac:dyDescent="0.2">
      <c r="M9641" s="309"/>
      <c r="AB9641" s="310"/>
    </row>
    <row r="9642" spans="13:28" s="308" customFormat="1" x14ac:dyDescent="0.2">
      <c r="M9642" s="309"/>
      <c r="AB9642" s="310"/>
    </row>
    <row r="9643" spans="13:28" s="308" customFormat="1" x14ac:dyDescent="0.2">
      <c r="M9643" s="309"/>
      <c r="AB9643" s="310"/>
    </row>
    <row r="9644" spans="13:28" s="308" customFormat="1" x14ac:dyDescent="0.2">
      <c r="M9644" s="309"/>
      <c r="AB9644" s="310"/>
    </row>
    <row r="9645" spans="13:28" s="308" customFormat="1" x14ac:dyDescent="0.2">
      <c r="M9645" s="309"/>
      <c r="AB9645" s="310"/>
    </row>
    <row r="9646" spans="13:28" s="308" customFormat="1" x14ac:dyDescent="0.2">
      <c r="M9646" s="309"/>
      <c r="AB9646" s="310"/>
    </row>
    <row r="9647" spans="13:28" s="308" customFormat="1" x14ac:dyDescent="0.2">
      <c r="M9647" s="309"/>
      <c r="AB9647" s="310"/>
    </row>
    <row r="9648" spans="13:28" s="308" customFormat="1" x14ac:dyDescent="0.2">
      <c r="M9648" s="309"/>
      <c r="AB9648" s="310"/>
    </row>
    <row r="9649" spans="13:28" s="308" customFormat="1" x14ac:dyDescent="0.2">
      <c r="M9649" s="309"/>
      <c r="AB9649" s="310"/>
    </row>
    <row r="9650" spans="13:28" s="308" customFormat="1" x14ac:dyDescent="0.2">
      <c r="M9650" s="309"/>
      <c r="AB9650" s="310"/>
    </row>
    <row r="9651" spans="13:28" s="308" customFormat="1" x14ac:dyDescent="0.2">
      <c r="M9651" s="309"/>
      <c r="AB9651" s="310"/>
    </row>
    <row r="9652" spans="13:28" s="308" customFormat="1" x14ac:dyDescent="0.2">
      <c r="M9652" s="309"/>
      <c r="AB9652" s="310"/>
    </row>
    <row r="9653" spans="13:28" s="308" customFormat="1" x14ac:dyDescent="0.2">
      <c r="M9653" s="309"/>
      <c r="AB9653" s="310"/>
    </row>
    <row r="9654" spans="13:28" s="308" customFormat="1" x14ac:dyDescent="0.2">
      <c r="M9654" s="309"/>
      <c r="AB9654" s="310"/>
    </row>
    <row r="9655" spans="13:28" s="308" customFormat="1" x14ac:dyDescent="0.2">
      <c r="M9655" s="309"/>
      <c r="AB9655" s="310"/>
    </row>
    <row r="9656" spans="13:28" s="308" customFormat="1" x14ac:dyDescent="0.2">
      <c r="M9656" s="309"/>
      <c r="AB9656" s="310"/>
    </row>
    <row r="9657" spans="13:28" s="308" customFormat="1" x14ac:dyDescent="0.2">
      <c r="M9657" s="309"/>
      <c r="AB9657" s="310"/>
    </row>
    <row r="9658" spans="13:28" s="308" customFormat="1" x14ac:dyDescent="0.2">
      <c r="M9658" s="309"/>
      <c r="AB9658" s="310"/>
    </row>
    <row r="9659" spans="13:28" s="308" customFormat="1" x14ac:dyDescent="0.2">
      <c r="M9659" s="309"/>
      <c r="AB9659" s="310"/>
    </row>
    <row r="9660" spans="13:28" s="308" customFormat="1" x14ac:dyDescent="0.2">
      <c r="M9660" s="309"/>
      <c r="AB9660" s="310"/>
    </row>
    <row r="9661" spans="13:28" s="308" customFormat="1" x14ac:dyDescent="0.2">
      <c r="M9661" s="309"/>
      <c r="AB9661" s="310"/>
    </row>
    <row r="9662" spans="13:28" s="308" customFormat="1" x14ac:dyDescent="0.2">
      <c r="M9662" s="309"/>
      <c r="AB9662" s="310"/>
    </row>
    <row r="9663" spans="13:28" s="308" customFormat="1" x14ac:dyDescent="0.2">
      <c r="M9663" s="309"/>
      <c r="AB9663" s="310"/>
    </row>
    <row r="9664" spans="13:28" s="308" customFormat="1" x14ac:dyDescent="0.2">
      <c r="M9664" s="309"/>
      <c r="AB9664" s="310"/>
    </row>
    <row r="9665" spans="13:28" s="308" customFormat="1" x14ac:dyDescent="0.2">
      <c r="M9665" s="309"/>
      <c r="AB9665" s="310"/>
    </row>
    <row r="9666" spans="13:28" s="308" customFormat="1" x14ac:dyDescent="0.2">
      <c r="M9666" s="309"/>
      <c r="AB9666" s="310"/>
    </row>
    <row r="9667" spans="13:28" s="308" customFormat="1" x14ac:dyDescent="0.2">
      <c r="M9667" s="309"/>
      <c r="AB9667" s="310"/>
    </row>
    <row r="9668" spans="13:28" s="308" customFormat="1" x14ac:dyDescent="0.2">
      <c r="M9668" s="309"/>
      <c r="AB9668" s="310"/>
    </row>
    <row r="9669" spans="13:28" s="308" customFormat="1" x14ac:dyDescent="0.2">
      <c r="M9669" s="309"/>
      <c r="AB9669" s="310"/>
    </row>
    <row r="9670" spans="13:28" s="308" customFormat="1" x14ac:dyDescent="0.2">
      <c r="M9670" s="309"/>
      <c r="AB9670" s="310"/>
    </row>
    <row r="9671" spans="13:28" s="308" customFormat="1" x14ac:dyDescent="0.2">
      <c r="M9671" s="309"/>
      <c r="AB9671" s="310"/>
    </row>
    <row r="9672" spans="13:28" s="308" customFormat="1" x14ac:dyDescent="0.2">
      <c r="M9672" s="309"/>
      <c r="AB9672" s="310"/>
    </row>
    <row r="9673" spans="13:28" s="308" customFormat="1" x14ac:dyDescent="0.2">
      <c r="M9673" s="309"/>
      <c r="AB9673" s="310"/>
    </row>
    <row r="9674" spans="13:28" s="308" customFormat="1" x14ac:dyDescent="0.2">
      <c r="M9674" s="309"/>
      <c r="AB9674" s="310"/>
    </row>
    <row r="9675" spans="13:28" s="308" customFormat="1" x14ac:dyDescent="0.2">
      <c r="M9675" s="309"/>
      <c r="AB9675" s="310"/>
    </row>
    <row r="9676" spans="13:28" s="308" customFormat="1" x14ac:dyDescent="0.2">
      <c r="M9676" s="309"/>
      <c r="AB9676" s="310"/>
    </row>
    <row r="9677" spans="13:28" s="308" customFormat="1" x14ac:dyDescent="0.2">
      <c r="M9677" s="309"/>
      <c r="AB9677" s="310"/>
    </row>
    <row r="9678" spans="13:28" s="308" customFormat="1" x14ac:dyDescent="0.2">
      <c r="M9678" s="309"/>
      <c r="AB9678" s="310"/>
    </row>
    <row r="9679" spans="13:28" s="308" customFormat="1" x14ac:dyDescent="0.2">
      <c r="M9679" s="309"/>
      <c r="AB9679" s="310"/>
    </row>
    <row r="9680" spans="13:28" s="308" customFormat="1" x14ac:dyDescent="0.2">
      <c r="M9680" s="309"/>
      <c r="AB9680" s="310"/>
    </row>
    <row r="9681" spans="13:28" s="308" customFormat="1" x14ac:dyDescent="0.2">
      <c r="M9681" s="309"/>
      <c r="AB9681" s="310"/>
    </row>
    <row r="9682" spans="13:28" s="308" customFormat="1" x14ac:dyDescent="0.2">
      <c r="M9682" s="309"/>
      <c r="AB9682" s="310"/>
    </row>
    <row r="9683" spans="13:28" s="308" customFormat="1" x14ac:dyDescent="0.2">
      <c r="M9683" s="309"/>
      <c r="AB9683" s="310"/>
    </row>
    <row r="9684" spans="13:28" s="308" customFormat="1" x14ac:dyDescent="0.2">
      <c r="M9684" s="309"/>
      <c r="AB9684" s="310"/>
    </row>
    <row r="9685" spans="13:28" s="308" customFormat="1" x14ac:dyDescent="0.2">
      <c r="M9685" s="309"/>
      <c r="AB9685" s="310"/>
    </row>
    <row r="9686" spans="13:28" s="308" customFormat="1" x14ac:dyDescent="0.2">
      <c r="M9686" s="309"/>
      <c r="AB9686" s="310"/>
    </row>
    <row r="9687" spans="13:28" s="308" customFormat="1" x14ac:dyDescent="0.2">
      <c r="M9687" s="309"/>
      <c r="AB9687" s="310"/>
    </row>
    <row r="9688" spans="13:28" s="308" customFormat="1" x14ac:dyDescent="0.2">
      <c r="M9688" s="309"/>
      <c r="AB9688" s="310"/>
    </row>
    <row r="9689" spans="13:28" s="308" customFormat="1" x14ac:dyDescent="0.2">
      <c r="M9689" s="309"/>
      <c r="AB9689" s="310"/>
    </row>
    <row r="9690" spans="13:28" s="308" customFormat="1" x14ac:dyDescent="0.2">
      <c r="M9690" s="309"/>
      <c r="AB9690" s="310"/>
    </row>
    <row r="9691" spans="13:28" s="308" customFormat="1" x14ac:dyDescent="0.2">
      <c r="M9691" s="309"/>
      <c r="AB9691" s="310"/>
    </row>
    <row r="9692" spans="13:28" s="308" customFormat="1" x14ac:dyDescent="0.2">
      <c r="M9692" s="309"/>
      <c r="AB9692" s="310"/>
    </row>
    <row r="9693" spans="13:28" s="308" customFormat="1" x14ac:dyDescent="0.2">
      <c r="M9693" s="309"/>
      <c r="AB9693" s="310"/>
    </row>
    <row r="9694" spans="13:28" s="308" customFormat="1" x14ac:dyDescent="0.2">
      <c r="M9694" s="309"/>
      <c r="AB9694" s="310"/>
    </row>
    <row r="9695" spans="13:28" s="308" customFormat="1" x14ac:dyDescent="0.2">
      <c r="M9695" s="309"/>
      <c r="AB9695" s="310"/>
    </row>
    <row r="9696" spans="13:28" s="308" customFormat="1" x14ac:dyDescent="0.2">
      <c r="M9696" s="309"/>
      <c r="AB9696" s="310"/>
    </row>
    <row r="9697" spans="13:28" s="308" customFormat="1" x14ac:dyDescent="0.2">
      <c r="M9697" s="309"/>
      <c r="AB9697" s="310"/>
    </row>
    <row r="9698" spans="13:28" s="308" customFormat="1" x14ac:dyDescent="0.2">
      <c r="M9698" s="309"/>
      <c r="AB9698" s="310"/>
    </row>
    <row r="9699" spans="13:28" s="308" customFormat="1" x14ac:dyDescent="0.2">
      <c r="M9699" s="309"/>
      <c r="AB9699" s="310"/>
    </row>
    <row r="9700" spans="13:28" s="308" customFormat="1" x14ac:dyDescent="0.2">
      <c r="M9700" s="309"/>
      <c r="AB9700" s="310"/>
    </row>
    <row r="9701" spans="13:28" s="308" customFormat="1" x14ac:dyDescent="0.2">
      <c r="M9701" s="309"/>
      <c r="AB9701" s="310"/>
    </row>
    <row r="9702" spans="13:28" s="308" customFormat="1" x14ac:dyDescent="0.2">
      <c r="M9702" s="309"/>
      <c r="AB9702" s="310"/>
    </row>
    <row r="9703" spans="13:28" s="308" customFormat="1" x14ac:dyDescent="0.2">
      <c r="M9703" s="309"/>
      <c r="AB9703" s="310"/>
    </row>
    <row r="9704" spans="13:28" s="308" customFormat="1" x14ac:dyDescent="0.2">
      <c r="M9704" s="309"/>
      <c r="AB9704" s="310"/>
    </row>
    <row r="9705" spans="13:28" s="308" customFormat="1" x14ac:dyDescent="0.2">
      <c r="M9705" s="309"/>
      <c r="AB9705" s="310"/>
    </row>
    <row r="9706" spans="13:28" s="308" customFormat="1" x14ac:dyDescent="0.2">
      <c r="M9706" s="309"/>
      <c r="AB9706" s="310"/>
    </row>
    <row r="9707" spans="13:28" s="308" customFormat="1" x14ac:dyDescent="0.2">
      <c r="M9707" s="309"/>
      <c r="AB9707" s="310"/>
    </row>
    <row r="9708" spans="13:28" s="308" customFormat="1" x14ac:dyDescent="0.2">
      <c r="M9708" s="309"/>
      <c r="AB9708" s="310"/>
    </row>
    <row r="9709" spans="13:28" s="308" customFormat="1" x14ac:dyDescent="0.2">
      <c r="M9709" s="309"/>
      <c r="AB9709" s="310"/>
    </row>
    <row r="9710" spans="13:28" s="308" customFormat="1" x14ac:dyDescent="0.2">
      <c r="M9710" s="309"/>
      <c r="AB9710" s="310"/>
    </row>
    <row r="9711" spans="13:28" s="308" customFormat="1" x14ac:dyDescent="0.2">
      <c r="M9711" s="309"/>
      <c r="AB9711" s="310"/>
    </row>
    <row r="9712" spans="13:28" s="308" customFormat="1" x14ac:dyDescent="0.2">
      <c r="M9712" s="309"/>
      <c r="AB9712" s="310"/>
    </row>
    <row r="9713" spans="13:28" s="308" customFormat="1" x14ac:dyDescent="0.2">
      <c r="M9713" s="309"/>
      <c r="AB9713" s="310"/>
    </row>
    <row r="9714" spans="13:28" s="308" customFormat="1" x14ac:dyDescent="0.2">
      <c r="M9714" s="309"/>
      <c r="AB9714" s="310"/>
    </row>
    <row r="9715" spans="13:28" s="308" customFormat="1" x14ac:dyDescent="0.2">
      <c r="M9715" s="309"/>
      <c r="AB9715" s="310"/>
    </row>
    <row r="9716" spans="13:28" s="308" customFormat="1" x14ac:dyDescent="0.2">
      <c r="M9716" s="309"/>
      <c r="AB9716" s="310"/>
    </row>
    <row r="9717" spans="13:28" s="308" customFormat="1" x14ac:dyDescent="0.2">
      <c r="M9717" s="309"/>
      <c r="AB9717" s="310"/>
    </row>
    <row r="9718" spans="13:28" s="308" customFormat="1" x14ac:dyDescent="0.2">
      <c r="M9718" s="309"/>
      <c r="AB9718" s="310"/>
    </row>
    <row r="9719" spans="13:28" s="308" customFormat="1" x14ac:dyDescent="0.2">
      <c r="M9719" s="309"/>
      <c r="AB9719" s="310"/>
    </row>
    <row r="9720" spans="13:28" s="308" customFormat="1" x14ac:dyDescent="0.2">
      <c r="M9720" s="309"/>
      <c r="AB9720" s="310"/>
    </row>
    <row r="9721" spans="13:28" s="308" customFormat="1" x14ac:dyDescent="0.2">
      <c r="M9721" s="309"/>
      <c r="AB9721" s="310"/>
    </row>
    <row r="9722" spans="13:28" s="308" customFormat="1" x14ac:dyDescent="0.2">
      <c r="M9722" s="309"/>
      <c r="AB9722" s="310"/>
    </row>
    <row r="9723" spans="13:28" s="308" customFormat="1" x14ac:dyDescent="0.2">
      <c r="M9723" s="309"/>
      <c r="AB9723" s="310"/>
    </row>
    <row r="9724" spans="13:28" s="308" customFormat="1" x14ac:dyDescent="0.2">
      <c r="M9724" s="309"/>
      <c r="AB9724" s="310"/>
    </row>
    <row r="9725" spans="13:28" s="308" customFormat="1" x14ac:dyDescent="0.2">
      <c r="M9725" s="309"/>
      <c r="AB9725" s="310"/>
    </row>
    <row r="9726" spans="13:28" s="308" customFormat="1" x14ac:dyDescent="0.2">
      <c r="M9726" s="309"/>
      <c r="AB9726" s="310"/>
    </row>
    <row r="9727" spans="13:28" s="308" customFormat="1" x14ac:dyDescent="0.2">
      <c r="M9727" s="309"/>
      <c r="AB9727" s="310"/>
    </row>
    <row r="9728" spans="13:28" s="308" customFormat="1" x14ac:dyDescent="0.2">
      <c r="M9728" s="309"/>
      <c r="AB9728" s="310"/>
    </row>
    <row r="9729" spans="13:28" s="308" customFormat="1" x14ac:dyDescent="0.2">
      <c r="M9729" s="309"/>
      <c r="AB9729" s="310"/>
    </row>
    <row r="9730" spans="13:28" s="308" customFormat="1" x14ac:dyDescent="0.2">
      <c r="M9730" s="309"/>
      <c r="AB9730" s="310"/>
    </row>
    <row r="9731" spans="13:28" s="308" customFormat="1" x14ac:dyDescent="0.2">
      <c r="M9731" s="309"/>
      <c r="AB9731" s="310"/>
    </row>
    <row r="9732" spans="13:28" s="308" customFormat="1" x14ac:dyDescent="0.2">
      <c r="M9732" s="309"/>
      <c r="AB9732" s="310"/>
    </row>
    <row r="9733" spans="13:28" s="308" customFormat="1" x14ac:dyDescent="0.2">
      <c r="M9733" s="309"/>
      <c r="AB9733" s="310"/>
    </row>
    <row r="9734" spans="13:28" s="308" customFormat="1" x14ac:dyDescent="0.2">
      <c r="M9734" s="309"/>
      <c r="AB9734" s="310"/>
    </row>
    <row r="9735" spans="13:28" s="308" customFormat="1" x14ac:dyDescent="0.2">
      <c r="M9735" s="309"/>
      <c r="AB9735" s="310"/>
    </row>
    <row r="9736" spans="13:28" s="308" customFormat="1" x14ac:dyDescent="0.2">
      <c r="M9736" s="309"/>
      <c r="AB9736" s="310"/>
    </row>
    <row r="9737" spans="13:28" s="308" customFormat="1" x14ac:dyDescent="0.2">
      <c r="M9737" s="309"/>
      <c r="AB9737" s="310"/>
    </row>
    <row r="9738" spans="13:28" s="308" customFormat="1" x14ac:dyDescent="0.2">
      <c r="M9738" s="309"/>
      <c r="AB9738" s="310"/>
    </row>
    <row r="9739" spans="13:28" s="308" customFormat="1" x14ac:dyDescent="0.2">
      <c r="M9739" s="309"/>
      <c r="AB9739" s="310"/>
    </row>
    <row r="9740" spans="13:28" s="308" customFormat="1" x14ac:dyDescent="0.2">
      <c r="M9740" s="309"/>
      <c r="AB9740" s="310"/>
    </row>
    <row r="9741" spans="13:28" s="308" customFormat="1" x14ac:dyDescent="0.2">
      <c r="M9741" s="309"/>
      <c r="AB9741" s="310"/>
    </row>
    <row r="9742" spans="13:28" s="308" customFormat="1" x14ac:dyDescent="0.2">
      <c r="M9742" s="309"/>
      <c r="AB9742" s="310"/>
    </row>
    <row r="9743" spans="13:28" s="308" customFormat="1" x14ac:dyDescent="0.2">
      <c r="M9743" s="309"/>
      <c r="AB9743" s="310"/>
    </row>
    <row r="9744" spans="13:28" s="308" customFormat="1" x14ac:dyDescent="0.2">
      <c r="M9744" s="309"/>
      <c r="AB9744" s="310"/>
    </row>
    <row r="9745" spans="13:28" s="308" customFormat="1" x14ac:dyDescent="0.2">
      <c r="M9745" s="309"/>
      <c r="AB9745" s="310"/>
    </row>
    <row r="9746" spans="13:28" s="308" customFormat="1" x14ac:dyDescent="0.2">
      <c r="M9746" s="309"/>
      <c r="AB9746" s="310"/>
    </row>
    <row r="9747" spans="13:28" s="308" customFormat="1" x14ac:dyDescent="0.2">
      <c r="M9747" s="309"/>
      <c r="AB9747" s="310"/>
    </row>
    <row r="9748" spans="13:28" s="308" customFormat="1" x14ac:dyDescent="0.2">
      <c r="M9748" s="309"/>
      <c r="AB9748" s="310"/>
    </row>
    <row r="9749" spans="13:28" s="308" customFormat="1" x14ac:dyDescent="0.2">
      <c r="M9749" s="309"/>
      <c r="AB9749" s="310"/>
    </row>
    <row r="9750" spans="13:28" s="308" customFormat="1" x14ac:dyDescent="0.2">
      <c r="M9750" s="309"/>
      <c r="AB9750" s="310"/>
    </row>
    <row r="9751" spans="13:28" s="308" customFormat="1" x14ac:dyDescent="0.2">
      <c r="M9751" s="309"/>
      <c r="AB9751" s="310"/>
    </row>
    <row r="9752" spans="13:28" s="308" customFormat="1" x14ac:dyDescent="0.2">
      <c r="M9752" s="309"/>
      <c r="AB9752" s="310"/>
    </row>
    <row r="9753" spans="13:28" s="308" customFormat="1" x14ac:dyDescent="0.2">
      <c r="M9753" s="309"/>
      <c r="AB9753" s="310"/>
    </row>
    <row r="9754" spans="13:28" s="308" customFormat="1" x14ac:dyDescent="0.2">
      <c r="M9754" s="309"/>
      <c r="AB9754" s="310"/>
    </row>
    <row r="9755" spans="13:28" s="308" customFormat="1" x14ac:dyDescent="0.2">
      <c r="M9755" s="309"/>
      <c r="AB9755" s="310"/>
    </row>
    <row r="9756" spans="13:28" s="308" customFormat="1" x14ac:dyDescent="0.2">
      <c r="M9756" s="309"/>
      <c r="AB9756" s="310"/>
    </row>
    <row r="9757" spans="13:28" s="308" customFormat="1" x14ac:dyDescent="0.2">
      <c r="M9757" s="309"/>
      <c r="AB9757" s="310"/>
    </row>
    <row r="9758" spans="13:28" s="308" customFormat="1" x14ac:dyDescent="0.2">
      <c r="M9758" s="309"/>
      <c r="AB9758" s="310"/>
    </row>
    <row r="9759" spans="13:28" s="308" customFormat="1" x14ac:dyDescent="0.2">
      <c r="M9759" s="309"/>
      <c r="AB9759" s="310"/>
    </row>
    <row r="9760" spans="13:28" s="308" customFormat="1" x14ac:dyDescent="0.2">
      <c r="M9760" s="309"/>
      <c r="AB9760" s="310"/>
    </row>
    <row r="9761" spans="13:28" s="308" customFormat="1" x14ac:dyDescent="0.2">
      <c r="M9761" s="309"/>
      <c r="AB9761" s="310"/>
    </row>
    <row r="9762" spans="13:28" s="308" customFormat="1" x14ac:dyDescent="0.2">
      <c r="M9762" s="309"/>
      <c r="AB9762" s="310"/>
    </row>
    <row r="9763" spans="13:28" s="308" customFormat="1" x14ac:dyDescent="0.2">
      <c r="M9763" s="309"/>
      <c r="AB9763" s="310"/>
    </row>
    <row r="9764" spans="13:28" s="308" customFormat="1" x14ac:dyDescent="0.2">
      <c r="M9764" s="309"/>
      <c r="AB9764" s="310"/>
    </row>
    <row r="9765" spans="13:28" s="308" customFormat="1" x14ac:dyDescent="0.2">
      <c r="M9765" s="309"/>
      <c r="AB9765" s="310"/>
    </row>
    <row r="9766" spans="13:28" s="308" customFormat="1" x14ac:dyDescent="0.2">
      <c r="M9766" s="309"/>
      <c r="AB9766" s="310"/>
    </row>
    <row r="9767" spans="13:28" s="308" customFormat="1" x14ac:dyDescent="0.2">
      <c r="M9767" s="309"/>
      <c r="AB9767" s="310"/>
    </row>
    <row r="9768" spans="13:28" s="308" customFormat="1" x14ac:dyDescent="0.2">
      <c r="M9768" s="309"/>
      <c r="AB9768" s="310"/>
    </row>
    <row r="9769" spans="13:28" s="308" customFormat="1" x14ac:dyDescent="0.2">
      <c r="M9769" s="309"/>
      <c r="AB9769" s="310"/>
    </row>
    <row r="9770" spans="13:28" s="308" customFormat="1" x14ac:dyDescent="0.2">
      <c r="M9770" s="309"/>
      <c r="AB9770" s="310"/>
    </row>
    <row r="9771" spans="13:28" s="308" customFormat="1" x14ac:dyDescent="0.2">
      <c r="M9771" s="309"/>
      <c r="AB9771" s="310"/>
    </row>
    <row r="9772" spans="13:28" s="308" customFormat="1" x14ac:dyDescent="0.2">
      <c r="M9772" s="309"/>
      <c r="AB9772" s="310"/>
    </row>
    <row r="9773" spans="13:28" s="308" customFormat="1" x14ac:dyDescent="0.2">
      <c r="M9773" s="309"/>
      <c r="AB9773" s="310"/>
    </row>
    <row r="9774" spans="13:28" s="308" customFormat="1" x14ac:dyDescent="0.2">
      <c r="M9774" s="309"/>
      <c r="AB9774" s="310"/>
    </row>
    <row r="9775" spans="13:28" s="308" customFormat="1" x14ac:dyDescent="0.2">
      <c r="M9775" s="309"/>
      <c r="AB9775" s="310"/>
    </row>
    <row r="9776" spans="13:28" s="308" customFormat="1" x14ac:dyDescent="0.2">
      <c r="M9776" s="309"/>
      <c r="AB9776" s="310"/>
    </row>
    <row r="9777" spans="13:28" s="308" customFormat="1" x14ac:dyDescent="0.2">
      <c r="M9777" s="309"/>
      <c r="AB9777" s="310"/>
    </row>
    <row r="9778" spans="13:28" s="308" customFormat="1" x14ac:dyDescent="0.2">
      <c r="M9778" s="309"/>
      <c r="AB9778" s="310"/>
    </row>
    <row r="9779" spans="13:28" s="308" customFormat="1" x14ac:dyDescent="0.2">
      <c r="M9779" s="309"/>
      <c r="AB9779" s="310"/>
    </row>
    <row r="9780" spans="13:28" s="308" customFormat="1" x14ac:dyDescent="0.2">
      <c r="M9780" s="309"/>
      <c r="AB9780" s="310"/>
    </row>
    <row r="9781" spans="13:28" s="308" customFormat="1" x14ac:dyDescent="0.2">
      <c r="M9781" s="309"/>
      <c r="AB9781" s="310"/>
    </row>
    <row r="9782" spans="13:28" s="308" customFormat="1" x14ac:dyDescent="0.2">
      <c r="M9782" s="309"/>
      <c r="AB9782" s="310"/>
    </row>
    <row r="9783" spans="13:28" s="308" customFormat="1" x14ac:dyDescent="0.2">
      <c r="M9783" s="309"/>
      <c r="AB9783" s="310"/>
    </row>
    <row r="9784" spans="13:28" s="308" customFormat="1" x14ac:dyDescent="0.2">
      <c r="M9784" s="309"/>
      <c r="AB9784" s="310"/>
    </row>
    <row r="9785" spans="13:28" s="308" customFormat="1" x14ac:dyDescent="0.2">
      <c r="M9785" s="309"/>
      <c r="AB9785" s="310"/>
    </row>
    <row r="9786" spans="13:28" s="308" customFormat="1" x14ac:dyDescent="0.2">
      <c r="M9786" s="309"/>
      <c r="AB9786" s="310"/>
    </row>
    <row r="9787" spans="13:28" s="308" customFormat="1" x14ac:dyDescent="0.2">
      <c r="M9787" s="309"/>
      <c r="AB9787" s="310"/>
    </row>
    <row r="9788" spans="13:28" s="308" customFormat="1" x14ac:dyDescent="0.2">
      <c r="M9788" s="309"/>
      <c r="AB9788" s="310"/>
    </row>
    <row r="9789" spans="13:28" s="308" customFormat="1" x14ac:dyDescent="0.2">
      <c r="M9789" s="309"/>
      <c r="AB9789" s="310"/>
    </row>
    <row r="9790" spans="13:28" s="308" customFormat="1" x14ac:dyDescent="0.2">
      <c r="M9790" s="309"/>
      <c r="AB9790" s="310"/>
    </row>
    <row r="9791" spans="13:28" s="308" customFormat="1" x14ac:dyDescent="0.2">
      <c r="M9791" s="309"/>
      <c r="AB9791" s="310"/>
    </row>
    <row r="9792" spans="13:28" s="308" customFormat="1" x14ac:dyDescent="0.2">
      <c r="M9792" s="309"/>
      <c r="AB9792" s="310"/>
    </row>
    <row r="9793" spans="13:28" s="308" customFormat="1" x14ac:dyDescent="0.2">
      <c r="M9793" s="309"/>
      <c r="AB9793" s="310"/>
    </row>
    <row r="9794" spans="13:28" s="308" customFormat="1" x14ac:dyDescent="0.2">
      <c r="M9794" s="309"/>
      <c r="AB9794" s="310"/>
    </row>
    <row r="9795" spans="13:28" s="308" customFormat="1" x14ac:dyDescent="0.2">
      <c r="M9795" s="309"/>
      <c r="AB9795" s="310"/>
    </row>
    <row r="9796" spans="13:28" s="308" customFormat="1" x14ac:dyDescent="0.2">
      <c r="M9796" s="309"/>
      <c r="AB9796" s="310"/>
    </row>
    <row r="9797" spans="13:28" s="308" customFormat="1" x14ac:dyDescent="0.2">
      <c r="M9797" s="309"/>
      <c r="AB9797" s="310"/>
    </row>
    <row r="9798" spans="13:28" s="308" customFormat="1" x14ac:dyDescent="0.2">
      <c r="M9798" s="309"/>
      <c r="AB9798" s="310"/>
    </row>
    <row r="9799" spans="13:28" s="308" customFormat="1" x14ac:dyDescent="0.2">
      <c r="M9799" s="309"/>
      <c r="AB9799" s="310"/>
    </row>
    <row r="9800" spans="13:28" s="308" customFormat="1" x14ac:dyDescent="0.2">
      <c r="M9800" s="309"/>
      <c r="AB9800" s="310"/>
    </row>
    <row r="9801" spans="13:28" s="308" customFormat="1" x14ac:dyDescent="0.2">
      <c r="M9801" s="309"/>
      <c r="AB9801" s="310"/>
    </row>
    <row r="9802" spans="13:28" s="308" customFormat="1" x14ac:dyDescent="0.2">
      <c r="M9802" s="309"/>
      <c r="AB9802" s="310"/>
    </row>
    <row r="9803" spans="13:28" s="308" customFormat="1" x14ac:dyDescent="0.2">
      <c r="M9803" s="309"/>
      <c r="AB9803" s="310"/>
    </row>
    <row r="9804" spans="13:28" s="308" customFormat="1" x14ac:dyDescent="0.2">
      <c r="M9804" s="309"/>
      <c r="AB9804" s="310"/>
    </row>
    <row r="9805" spans="13:28" s="308" customFormat="1" x14ac:dyDescent="0.2">
      <c r="M9805" s="309"/>
      <c r="AB9805" s="310"/>
    </row>
    <row r="9806" spans="13:28" s="308" customFormat="1" x14ac:dyDescent="0.2">
      <c r="M9806" s="309"/>
      <c r="AB9806" s="310"/>
    </row>
    <row r="9807" spans="13:28" s="308" customFormat="1" x14ac:dyDescent="0.2">
      <c r="M9807" s="309"/>
      <c r="AB9807" s="310"/>
    </row>
    <row r="9808" spans="13:28" s="308" customFormat="1" x14ac:dyDescent="0.2">
      <c r="M9808" s="309"/>
      <c r="AB9808" s="310"/>
    </row>
    <row r="9809" spans="13:28" s="308" customFormat="1" x14ac:dyDescent="0.2">
      <c r="M9809" s="309"/>
      <c r="AB9809" s="310"/>
    </row>
    <row r="9810" spans="13:28" s="308" customFormat="1" x14ac:dyDescent="0.2">
      <c r="M9810" s="309"/>
      <c r="AB9810" s="310"/>
    </row>
    <row r="9811" spans="13:28" s="308" customFormat="1" x14ac:dyDescent="0.2">
      <c r="M9811" s="309"/>
      <c r="AB9811" s="310"/>
    </row>
    <row r="9812" spans="13:28" s="308" customFormat="1" x14ac:dyDescent="0.2">
      <c r="M9812" s="309"/>
      <c r="AB9812" s="310"/>
    </row>
    <row r="9813" spans="13:28" s="308" customFormat="1" x14ac:dyDescent="0.2">
      <c r="M9813" s="309"/>
      <c r="AB9813" s="310"/>
    </row>
    <row r="9814" spans="13:28" s="308" customFormat="1" x14ac:dyDescent="0.2">
      <c r="M9814" s="309"/>
      <c r="AB9814" s="310"/>
    </row>
    <row r="9815" spans="13:28" s="308" customFormat="1" x14ac:dyDescent="0.2">
      <c r="M9815" s="309"/>
      <c r="AB9815" s="310"/>
    </row>
    <row r="9816" spans="13:28" s="308" customFormat="1" x14ac:dyDescent="0.2">
      <c r="M9816" s="309"/>
      <c r="AB9816" s="310"/>
    </row>
    <row r="9817" spans="13:28" s="308" customFormat="1" x14ac:dyDescent="0.2">
      <c r="M9817" s="309"/>
      <c r="AB9817" s="310"/>
    </row>
    <row r="9818" spans="13:28" s="308" customFormat="1" x14ac:dyDescent="0.2">
      <c r="M9818" s="309"/>
      <c r="AB9818" s="310"/>
    </row>
    <row r="9819" spans="13:28" s="308" customFormat="1" x14ac:dyDescent="0.2">
      <c r="M9819" s="309"/>
      <c r="AB9819" s="310"/>
    </row>
    <row r="9820" spans="13:28" s="308" customFormat="1" x14ac:dyDescent="0.2">
      <c r="M9820" s="309"/>
      <c r="AB9820" s="310"/>
    </row>
    <row r="9821" spans="13:28" s="308" customFormat="1" x14ac:dyDescent="0.2">
      <c r="M9821" s="309"/>
      <c r="AB9821" s="310"/>
    </row>
    <row r="9822" spans="13:28" s="308" customFormat="1" x14ac:dyDescent="0.2">
      <c r="M9822" s="309"/>
      <c r="AB9822" s="310"/>
    </row>
    <row r="9823" spans="13:28" s="308" customFormat="1" x14ac:dyDescent="0.2">
      <c r="M9823" s="309"/>
      <c r="AB9823" s="310"/>
    </row>
    <row r="9824" spans="13:28" s="308" customFormat="1" x14ac:dyDescent="0.2">
      <c r="M9824" s="309"/>
      <c r="AB9824" s="310"/>
    </row>
    <row r="9825" spans="13:28" s="308" customFormat="1" x14ac:dyDescent="0.2">
      <c r="M9825" s="309"/>
      <c r="AB9825" s="310"/>
    </row>
    <row r="9826" spans="13:28" s="308" customFormat="1" x14ac:dyDescent="0.2">
      <c r="M9826" s="309"/>
      <c r="AB9826" s="310"/>
    </row>
    <row r="9827" spans="13:28" s="308" customFormat="1" x14ac:dyDescent="0.2">
      <c r="M9827" s="309"/>
      <c r="AB9827" s="310"/>
    </row>
    <row r="9828" spans="13:28" s="308" customFormat="1" x14ac:dyDescent="0.2">
      <c r="M9828" s="309"/>
      <c r="AB9828" s="310"/>
    </row>
    <row r="9829" spans="13:28" s="308" customFormat="1" x14ac:dyDescent="0.2">
      <c r="M9829" s="309"/>
      <c r="AB9829" s="310"/>
    </row>
    <row r="9830" spans="13:28" s="308" customFormat="1" x14ac:dyDescent="0.2">
      <c r="M9830" s="309"/>
      <c r="AB9830" s="310"/>
    </row>
    <row r="9831" spans="13:28" s="308" customFormat="1" x14ac:dyDescent="0.2">
      <c r="M9831" s="309"/>
      <c r="AB9831" s="310"/>
    </row>
    <row r="9832" spans="13:28" s="308" customFormat="1" x14ac:dyDescent="0.2">
      <c r="M9832" s="309"/>
      <c r="AB9832" s="310"/>
    </row>
    <row r="9833" spans="13:28" s="308" customFormat="1" x14ac:dyDescent="0.2">
      <c r="M9833" s="309"/>
      <c r="AB9833" s="310"/>
    </row>
    <row r="9834" spans="13:28" s="308" customFormat="1" x14ac:dyDescent="0.2">
      <c r="M9834" s="309"/>
      <c r="AB9834" s="310"/>
    </row>
    <row r="9835" spans="13:28" s="308" customFormat="1" x14ac:dyDescent="0.2">
      <c r="M9835" s="309"/>
      <c r="AB9835" s="310"/>
    </row>
    <row r="9836" spans="13:28" s="308" customFormat="1" x14ac:dyDescent="0.2">
      <c r="M9836" s="309"/>
      <c r="AB9836" s="310"/>
    </row>
    <row r="9837" spans="13:28" s="308" customFormat="1" x14ac:dyDescent="0.2">
      <c r="M9837" s="309"/>
      <c r="AB9837" s="310"/>
    </row>
    <row r="9838" spans="13:28" s="308" customFormat="1" x14ac:dyDescent="0.2">
      <c r="M9838" s="309"/>
      <c r="AB9838" s="310"/>
    </row>
    <row r="9839" spans="13:28" s="308" customFormat="1" x14ac:dyDescent="0.2">
      <c r="M9839" s="309"/>
      <c r="AB9839" s="310"/>
    </row>
    <row r="9840" spans="13:28" s="308" customFormat="1" x14ac:dyDescent="0.2">
      <c r="M9840" s="309"/>
      <c r="AB9840" s="310"/>
    </row>
    <row r="9841" spans="13:28" s="308" customFormat="1" x14ac:dyDescent="0.2">
      <c r="M9841" s="309"/>
      <c r="AB9841" s="310"/>
    </row>
    <row r="9842" spans="13:28" s="308" customFormat="1" x14ac:dyDescent="0.2">
      <c r="M9842" s="309"/>
      <c r="AB9842" s="310"/>
    </row>
    <row r="9843" spans="13:28" s="308" customFormat="1" x14ac:dyDescent="0.2">
      <c r="M9843" s="309"/>
      <c r="AB9843" s="310"/>
    </row>
    <row r="9844" spans="13:28" s="308" customFormat="1" x14ac:dyDescent="0.2">
      <c r="M9844" s="309"/>
      <c r="AB9844" s="310"/>
    </row>
    <row r="9845" spans="13:28" s="308" customFormat="1" x14ac:dyDescent="0.2">
      <c r="M9845" s="309"/>
      <c r="AB9845" s="310"/>
    </row>
    <row r="9846" spans="13:28" s="308" customFormat="1" x14ac:dyDescent="0.2">
      <c r="M9846" s="309"/>
      <c r="AB9846" s="310"/>
    </row>
    <row r="9847" spans="13:28" s="308" customFormat="1" x14ac:dyDescent="0.2">
      <c r="M9847" s="309"/>
      <c r="AB9847" s="310"/>
    </row>
    <row r="9848" spans="13:28" s="308" customFormat="1" x14ac:dyDescent="0.2">
      <c r="M9848" s="309"/>
      <c r="AB9848" s="310"/>
    </row>
    <row r="9849" spans="13:28" s="308" customFormat="1" x14ac:dyDescent="0.2">
      <c r="M9849" s="309"/>
      <c r="AB9849" s="310"/>
    </row>
    <row r="9850" spans="13:28" s="308" customFormat="1" x14ac:dyDescent="0.2">
      <c r="M9850" s="309"/>
      <c r="AB9850" s="310"/>
    </row>
    <row r="9851" spans="13:28" s="308" customFormat="1" x14ac:dyDescent="0.2">
      <c r="M9851" s="309"/>
      <c r="AB9851" s="310"/>
    </row>
    <row r="9852" spans="13:28" s="308" customFormat="1" x14ac:dyDescent="0.2">
      <c r="M9852" s="309"/>
      <c r="AB9852" s="310"/>
    </row>
    <row r="9853" spans="13:28" s="308" customFormat="1" x14ac:dyDescent="0.2">
      <c r="M9853" s="309"/>
      <c r="AB9853" s="310"/>
    </row>
    <row r="9854" spans="13:28" s="308" customFormat="1" x14ac:dyDescent="0.2">
      <c r="M9854" s="309"/>
      <c r="AB9854" s="310"/>
    </row>
    <row r="9855" spans="13:28" s="308" customFormat="1" x14ac:dyDescent="0.2">
      <c r="M9855" s="309"/>
      <c r="AB9855" s="310"/>
    </row>
    <row r="9856" spans="13:28" s="308" customFormat="1" x14ac:dyDescent="0.2">
      <c r="M9856" s="309"/>
      <c r="AB9856" s="310"/>
    </row>
    <row r="9857" spans="13:28" s="308" customFormat="1" x14ac:dyDescent="0.2">
      <c r="M9857" s="309"/>
      <c r="AB9857" s="310"/>
    </row>
    <row r="9858" spans="13:28" s="308" customFormat="1" x14ac:dyDescent="0.2">
      <c r="M9858" s="309"/>
      <c r="AB9858" s="310"/>
    </row>
    <row r="9859" spans="13:28" s="308" customFormat="1" x14ac:dyDescent="0.2">
      <c r="M9859" s="309"/>
      <c r="AB9859" s="310"/>
    </row>
    <row r="9860" spans="13:28" s="308" customFormat="1" x14ac:dyDescent="0.2">
      <c r="M9860" s="309"/>
      <c r="AB9860" s="310"/>
    </row>
    <row r="9861" spans="13:28" s="308" customFormat="1" x14ac:dyDescent="0.2">
      <c r="M9861" s="309"/>
      <c r="AB9861" s="310"/>
    </row>
    <row r="9862" spans="13:28" s="308" customFormat="1" x14ac:dyDescent="0.2">
      <c r="M9862" s="309"/>
      <c r="AB9862" s="310"/>
    </row>
    <row r="9863" spans="13:28" s="308" customFormat="1" x14ac:dyDescent="0.2">
      <c r="M9863" s="309"/>
      <c r="AB9863" s="310"/>
    </row>
    <row r="9864" spans="13:28" s="308" customFormat="1" x14ac:dyDescent="0.2">
      <c r="M9864" s="309"/>
      <c r="AB9864" s="310"/>
    </row>
    <row r="9865" spans="13:28" s="308" customFormat="1" x14ac:dyDescent="0.2">
      <c r="M9865" s="309"/>
      <c r="AB9865" s="310"/>
    </row>
    <row r="9866" spans="13:28" s="308" customFormat="1" x14ac:dyDescent="0.2">
      <c r="M9866" s="309"/>
      <c r="AB9866" s="310"/>
    </row>
    <row r="9867" spans="13:28" s="308" customFormat="1" x14ac:dyDescent="0.2">
      <c r="M9867" s="309"/>
      <c r="AB9867" s="310"/>
    </row>
    <row r="9868" spans="13:28" s="308" customFormat="1" x14ac:dyDescent="0.2">
      <c r="M9868" s="309"/>
      <c r="AB9868" s="310"/>
    </row>
    <row r="9869" spans="13:28" s="308" customFormat="1" x14ac:dyDescent="0.2">
      <c r="M9869" s="309"/>
      <c r="AB9869" s="310"/>
    </row>
    <row r="9870" spans="13:28" s="308" customFormat="1" x14ac:dyDescent="0.2">
      <c r="M9870" s="309"/>
      <c r="AB9870" s="310"/>
    </row>
    <row r="9871" spans="13:28" s="308" customFormat="1" x14ac:dyDescent="0.2">
      <c r="M9871" s="309"/>
      <c r="AB9871" s="310"/>
    </row>
    <row r="9872" spans="13:28" s="308" customFormat="1" x14ac:dyDescent="0.2">
      <c r="M9872" s="309"/>
      <c r="AB9872" s="310"/>
    </row>
    <row r="9873" spans="13:28" s="308" customFormat="1" x14ac:dyDescent="0.2">
      <c r="M9873" s="309"/>
      <c r="AB9873" s="310"/>
    </row>
    <row r="9874" spans="13:28" s="308" customFormat="1" x14ac:dyDescent="0.2">
      <c r="M9874" s="309"/>
      <c r="AB9874" s="310"/>
    </row>
    <row r="9875" spans="13:28" s="308" customFormat="1" x14ac:dyDescent="0.2">
      <c r="M9875" s="309"/>
      <c r="AB9875" s="310"/>
    </row>
    <row r="9876" spans="13:28" s="308" customFormat="1" x14ac:dyDescent="0.2">
      <c r="M9876" s="309"/>
      <c r="AB9876" s="310"/>
    </row>
    <row r="9877" spans="13:28" s="308" customFormat="1" x14ac:dyDescent="0.2">
      <c r="M9877" s="309"/>
      <c r="AB9877" s="310"/>
    </row>
    <row r="9878" spans="13:28" s="308" customFormat="1" x14ac:dyDescent="0.2">
      <c r="M9878" s="309"/>
      <c r="AB9878" s="310"/>
    </row>
    <row r="9879" spans="13:28" s="308" customFormat="1" x14ac:dyDescent="0.2">
      <c r="M9879" s="309"/>
      <c r="AB9879" s="310"/>
    </row>
    <row r="9880" spans="13:28" s="308" customFormat="1" x14ac:dyDescent="0.2">
      <c r="M9880" s="309"/>
      <c r="AB9880" s="310"/>
    </row>
    <row r="9881" spans="13:28" s="308" customFormat="1" x14ac:dyDescent="0.2">
      <c r="M9881" s="309"/>
      <c r="AB9881" s="310"/>
    </row>
    <row r="9882" spans="13:28" s="308" customFormat="1" x14ac:dyDescent="0.2">
      <c r="M9882" s="309"/>
      <c r="AB9882" s="310"/>
    </row>
    <row r="9883" spans="13:28" s="308" customFormat="1" x14ac:dyDescent="0.2">
      <c r="M9883" s="309"/>
      <c r="AB9883" s="310"/>
    </row>
    <row r="9884" spans="13:28" s="308" customFormat="1" x14ac:dyDescent="0.2">
      <c r="M9884" s="309"/>
      <c r="AB9884" s="310"/>
    </row>
    <row r="9885" spans="13:28" s="308" customFormat="1" x14ac:dyDescent="0.2">
      <c r="M9885" s="309"/>
      <c r="AB9885" s="310"/>
    </row>
    <row r="9886" spans="13:28" s="308" customFormat="1" x14ac:dyDescent="0.2">
      <c r="M9886" s="309"/>
      <c r="AB9886" s="310"/>
    </row>
    <row r="9887" spans="13:28" s="308" customFormat="1" x14ac:dyDescent="0.2">
      <c r="M9887" s="309"/>
      <c r="AB9887" s="310"/>
    </row>
    <row r="9888" spans="13:28" s="308" customFormat="1" x14ac:dyDescent="0.2">
      <c r="M9888" s="309"/>
      <c r="AB9888" s="310"/>
    </row>
    <row r="9889" spans="13:28" s="308" customFormat="1" x14ac:dyDescent="0.2">
      <c r="M9889" s="309"/>
      <c r="AB9889" s="310"/>
    </row>
    <row r="9890" spans="13:28" s="308" customFormat="1" x14ac:dyDescent="0.2">
      <c r="M9890" s="309"/>
      <c r="AB9890" s="310"/>
    </row>
    <row r="9891" spans="13:28" s="308" customFormat="1" x14ac:dyDescent="0.2">
      <c r="M9891" s="309"/>
      <c r="AB9891" s="310"/>
    </row>
    <row r="9892" spans="13:28" s="308" customFormat="1" x14ac:dyDescent="0.2">
      <c r="M9892" s="309"/>
      <c r="AB9892" s="310"/>
    </row>
    <row r="9893" spans="13:28" s="308" customFormat="1" x14ac:dyDescent="0.2">
      <c r="M9893" s="309"/>
      <c r="AB9893" s="310"/>
    </row>
    <row r="9894" spans="13:28" s="308" customFormat="1" x14ac:dyDescent="0.2">
      <c r="M9894" s="309"/>
      <c r="AB9894" s="310"/>
    </row>
    <row r="9895" spans="13:28" s="308" customFormat="1" x14ac:dyDescent="0.2">
      <c r="M9895" s="309"/>
      <c r="AB9895" s="310"/>
    </row>
    <row r="9896" spans="13:28" s="308" customFormat="1" x14ac:dyDescent="0.2">
      <c r="M9896" s="309"/>
      <c r="AB9896" s="310"/>
    </row>
    <row r="9897" spans="13:28" s="308" customFormat="1" x14ac:dyDescent="0.2">
      <c r="M9897" s="309"/>
      <c r="AB9897" s="310"/>
    </row>
    <row r="9898" spans="13:28" s="308" customFormat="1" x14ac:dyDescent="0.2">
      <c r="M9898" s="309"/>
      <c r="AB9898" s="310"/>
    </row>
    <row r="9899" spans="13:28" s="308" customFormat="1" x14ac:dyDescent="0.2">
      <c r="M9899" s="309"/>
      <c r="AB9899" s="310"/>
    </row>
    <row r="9900" spans="13:28" s="308" customFormat="1" x14ac:dyDescent="0.2">
      <c r="M9900" s="309"/>
      <c r="AB9900" s="310"/>
    </row>
    <row r="9901" spans="13:28" s="308" customFormat="1" x14ac:dyDescent="0.2">
      <c r="M9901" s="309"/>
      <c r="AB9901" s="310"/>
    </row>
    <row r="9902" spans="13:28" s="308" customFormat="1" x14ac:dyDescent="0.2">
      <c r="M9902" s="309"/>
      <c r="AB9902" s="310"/>
    </row>
    <row r="9903" spans="13:28" s="308" customFormat="1" x14ac:dyDescent="0.2">
      <c r="M9903" s="309"/>
      <c r="AB9903" s="310"/>
    </row>
    <row r="9904" spans="13:28" s="308" customFormat="1" x14ac:dyDescent="0.2">
      <c r="M9904" s="309"/>
      <c r="AB9904" s="310"/>
    </row>
    <row r="9905" spans="13:28" s="308" customFormat="1" x14ac:dyDescent="0.2">
      <c r="M9905" s="309"/>
      <c r="AB9905" s="310"/>
    </row>
    <row r="9906" spans="13:28" s="308" customFormat="1" x14ac:dyDescent="0.2">
      <c r="M9906" s="309"/>
      <c r="AB9906" s="310"/>
    </row>
    <row r="9907" spans="13:28" s="308" customFormat="1" x14ac:dyDescent="0.2">
      <c r="M9907" s="309"/>
      <c r="AB9907" s="310"/>
    </row>
    <row r="9908" spans="13:28" s="308" customFormat="1" x14ac:dyDescent="0.2">
      <c r="M9908" s="309"/>
      <c r="AB9908" s="310"/>
    </row>
    <row r="9909" spans="13:28" s="308" customFormat="1" x14ac:dyDescent="0.2">
      <c r="M9909" s="309"/>
      <c r="AB9909" s="310"/>
    </row>
    <row r="9910" spans="13:28" s="308" customFormat="1" x14ac:dyDescent="0.2">
      <c r="M9910" s="309"/>
      <c r="AB9910" s="310"/>
    </row>
    <row r="9911" spans="13:28" s="308" customFormat="1" x14ac:dyDescent="0.2">
      <c r="M9911" s="309"/>
      <c r="AB9911" s="310"/>
    </row>
    <row r="9912" spans="13:28" s="308" customFormat="1" x14ac:dyDescent="0.2">
      <c r="M9912" s="309"/>
      <c r="AB9912" s="310"/>
    </row>
    <row r="9913" spans="13:28" s="308" customFormat="1" x14ac:dyDescent="0.2">
      <c r="M9913" s="309"/>
      <c r="AB9913" s="310"/>
    </row>
    <row r="9914" spans="13:28" s="308" customFormat="1" x14ac:dyDescent="0.2">
      <c r="M9914" s="309"/>
      <c r="AB9914" s="310"/>
    </row>
    <row r="9915" spans="13:28" s="308" customFormat="1" x14ac:dyDescent="0.2">
      <c r="M9915" s="309"/>
      <c r="AB9915" s="310"/>
    </row>
    <row r="9916" spans="13:28" s="308" customFormat="1" x14ac:dyDescent="0.2">
      <c r="M9916" s="309"/>
      <c r="AB9916" s="310"/>
    </row>
    <row r="9917" spans="13:28" s="308" customFormat="1" x14ac:dyDescent="0.2">
      <c r="M9917" s="309"/>
      <c r="AB9917" s="310"/>
    </row>
    <row r="9918" spans="13:28" s="308" customFormat="1" x14ac:dyDescent="0.2">
      <c r="M9918" s="309"/>
      <c r="AB9918" s="310"/>
    </row>
    <row r="9919" spans="13:28" s="308" customFormat="1" x14ac:dyDescent="0.2">
      <c r="M9919" s="309"/>
      <c r="AB9919" s="310"/>
    </row>
    <row r="9920" spans="13:28" s="308" customFormat="1" x14ac:dyDescent="0.2">
      <c r="M9920" s="309"/>
      <c r="AB9920" s="310"/>
    </row>
    <row r="9921" spans="13:28" s="308" customFormat="1" x14ac:dyDescent="0.2">
      <c r="M9921" s="309"/>
      <c r="AB9921" s="310"/>
    </row>
    <row r="9922" spans="13:28" s="308" customFormat="1" x14ac:dyDescent="0.2">
      <c r="M9922" s="309"/>
      <c r="AB9922" s="310"/>
    </row>
    <row r="9923" spans="13:28" s="308" customFormat="1" x14ac:dyDescent="0.2">
      <c r="M9923" s="309"/>
      <c r="AB9923" s="310"/>
    </row>
    <row r="9924" spans="13:28" s="308" customFormat="1" x14ac:dyDescent="0.2">
      <c r="M9924" s="309"/>
      <c r="AB9924" s="310"/>
    </row>
    <row r="9925" spans="13:28" s="308" customFormat="1" x14ac:dyDescent="0.2">
      <c r="M9925" s="309"/>
      <c r="AB9925" s="310"/>
    </row>
    <row r="9926" spans="13:28" s="308" customFormat="1" x14ac:dyDescent="0.2">
      <c r="M9926" s="309"/>
      <c r="AB9926" s="310"/>
    </row>
    <row r="9927" spans="13:28" s="308" customFormat="1" x14ac:dyDescent="0.2">
      <c r="M9927" s="309"/>
      <c r="AB9927" s="310"/>
    </row>
    <row r="9928" spans="13:28" s="308" customFormat="1" x14ac:dyDescent="0.2">
      <c r="M9928" s="309"/>
      <c r="AB9928" s="310"/>
    </row>
    <row r="9929" spans="13:28" s="308" customFormat="1" x14ac:dyDescent="0.2">
      <c r="M9929" s="309"/>
      <c r="AB9929" s="310"/>
    </row>
    <row r="9930" spans="13:28" s="308" customFormat="1" x14ac:dyDescent="0.2">
      <c r="M9930" s="309"/>
      <c r="AB9930" s="310"/>
    </row>
    <row r="9931" spans="13:28" s="308" customFormat="1" x14ac:dyDescent="0.2">
      <c r="M9931" s="309"/>
      <c r="AB9931" s="310"/>
    </row>
    <row r="9932" spans="13:28" s="308" customFormat="1" x14ac:dyDescent="0.2">
      <c r="M9932" s="309"/>
      <c r="AB9932" s="310"/>
    </row>
    <row r="9933" spans="13:28" s="308" customFormat="1" x14ac:dyDescent="0.2">
      <c r="M9933" s="309"/>
      <c r="AB9933" s="310"/>
    </row>
    <row r="9934" spans="13:28" s="308" customFormat="1" x14ac:dyDescent="0.2">
      <c r="M9934" s="309"/>
      <c r="AB9934" s="310"/>
    </row>
    <row r="9935" spans="13:28" s="308" customFormat="1" x14ac:dyDescent="0.2">
      <c r="M9935" s="309"/>
      <c r="AB9935" s="310"/>
    </row>
    <row r="9936" spans="13:28" s="308" customFormat="1" x14ac:dyDescent="0.2">
      <c r="M9936" s="309"/>
      <c r="AB9936" s="310"/>
    </row>
    <row r="9937" spans="13:28" s="308" customFormat="1" x14ac:dyDescent="0.2">
      <c r="M9937" s="309"/>
      <c r="AB9937" s="310"/>
    </row>
    <row r="9938" spans="13:28" s="308" customFormat="1" x14ac:dyDescent="0.2">
      <c r="M9938" s="309"/>
      <c r="AB9938" s="310"/>
    </row>
    <row r="9939" spans="13:28" s="308" customFormat="1" x14ac:dyDescent="0.2">
      <c r="M9939" s="309"/>
      <c r="AB9939" s="310"/>
    </row>
    <row r="9940" spans="13:28" s="308" customFormat="1" x14ac:dyDescent="0.2">
      <c r="M9940" s="309"/>
      <c r="AB9940" s="310"/>
    </row>
    <row r="9941" spans="13:28" s="308" customFormat="1" x14ac:dyDescent="0.2">
      <c r="M9941" s="309"/>
      <c r="AB9941" s="310"/>
    </row>
    <row r="9942" spans="13:28" s="308" customFormat="1" x14ac:dyDescent="0.2">
      <c r="M9942" s="309"/>
      <c r="AB9942" s="310"/>
    </row>
    <row r="9943" spans="13:28" s="308" customFormat="1" x14ac:dyDescent="0.2">
      <c r="M9943" s="309"/>
      <c r="AB9943" s="310"/>
    </row>
    <row r="9944" spans="13:28" s="308" customFormat="1" x14ac:dyDescent="0.2">
      <c r="M9944" s="309"/>
      <c r="AB9944" s="310"/>
    </row>
    <row r="9945" spans="13:28" s="308" customFormat="1" x14ac:dyDescent="0.2">
      <c r="M9945" s="309"/>
      <c r="AB9945" s="310"/>
    </row>
    <row r="9946" spans="13:28" s="308" customFormat="1" x14ac:dyDescent="0.2">
      <c r="M9946" s="309"/>
      <c r="AB9946" s="310"/>
    </row>
    <row r="9947" spans="13:28" s="308" customFormat="1" x14ac:dyDescent="0.2">
      <c r="M9947" s="309"/>
      <c r="AB9947" s="310"/>
    </row>
    <row r="9948" spans="13:28" s="308" customFormat="1" x14ac:dyDescent="0.2">
      <c r="M9948" s="309"/>
      <c r="AB9948" s="310"/>
    </row>
    <row r="9949" spans="13:28" s="308" customFormat="1" x14ac:dyDescent="0.2">
      <c r="M9949" s="309"/>
      <c r="AB9949" s="310"/>
    </row>
    <row r="9950" spans="13:28" s="308" customFormat="1" x14ac:dyDescent="0.2">
      <c r="M9950" s="309"/>
      <c r="AB9950" s="310"/>
    </row>
    <row r="9951" spans="13:28" s="308" customFormat="1" x14ac:dyDescent="0.2">
      <c r="M9951" s="309"/>
      <c r="AB9951" s="310"/>
    </row>
    <row r="9952" spans="13:28" s="308" customFormat="1" x14ac:dyDescent="0.2">
      <c r="M9952" s="309"/>
      <c r="AB9952" s="310"/>
    </row>
    <row r="9953" spans="13:28" s="308" customFormat="1" x14ac:dyDescent="0.2">
      <c r="M9953" s="309"/>
      <c r="AB9953" s="310"/>
    </row>
    <row r="9954" spans="13:28" s="308" customFormat="1" x14ac:dyDescent="0.2">
      <c r="M9954" s="309"/>
      <c r="AB9954" s="310"/>
    </row>
    <row r="9955" spans="13:28" s="308" customFormat="1" x14ac:dyDescent="0.2">
      <c r="M9955" s="309"/>
      <c r="AB9955" s="310"/>
    </row>
    <row r="9956" spans="13:28" s="308" customFormat="1" x14ac:dyDescent="0.2">
      <c r="M9956" s="309"/>
      <c r="AB9956" s="310"/>
    </row>
    <row r="9957" spans="13:28" s="308" customFormat="1" x14ac:dyDescent="0.2">
      <c r="M9957" s="309"/>
      <c r="AB9957" s="310"/>
    </row>
    <row r="9958" spans="13:28" s="308" customFormat="1" x14ac:dyDescent="0.2">
      <c r="M9958" s="309"/>
      <c r="AB9958" s="310"/>
    </row>
    <row r="9959" spans="13:28" s="308" customFormat="1" x14ac:dyDescent="0.2">
      <c r="M9959" s="309"/>
      <c r="AB9959" s="310"/>
    </row>
    <row r="9960" spans="13:28" s="308" customFormat="1" x14ac:dyDescent="0.2">
      <c r="M9960" s="309"/>
      <c r="AB9960" s="310"/>
    </row>
    <row r="9961" spans="13:28" s="308" customFormat="1" x14ac:dyDescent="0.2">
      <c r="M9961" s="309"/>
      <c r="AB9961" s="310"/>
    </row>
    <row r="9962" spans="13:28" s="308" customFormat="1" x14ac:dyDescent="0.2">
      <c r="M9962" s="309"/>
      <c r="AB9962" s="310"/>
    </row>
    <row r="9963" spans="13:28" s="308" customFormat="1" x14ac:dyDescent="0.2">
      <c r="M9963" s="309"/>
      <c r="AB9963" s="310"/>
    </row>
    <row r="9964" spans="13:28" s="308" customFormat="1" x14ac:dyDescent="0.2">
      <c r="M9964" s="309"/>
      <c r="AB9964" s="310"/>
    </row>
    <row r="9965" spans="13:28" s="308" customFormat="1" x14ac:dyDescent="0.2">
      <c r="M9965" s="309"/>
      <c r="AB9965" s="310"/>
    </row>
    <row r="9966" spans="13:28" s="308" customFormat="1" x14ac:dyDescent="0.2">
      <c r="M9966" s="309"/>
      <c r="AB9966" s="310"/>
    </row>
    <row r="9967" spans="13:28" s="308" customFormat="1" x14ac:dyDescent="0.2">
      <c r="M9967" s="309"/>
      <c r="AB9967" s="310"/>
    </row>
    <row r="9968" spans="13:28" s="308" customFormat="1" x14ac:dyDescent="0.2">
      <c r="M9968" s="309"/>
      <c r="AB9968" s="310"/>
    </row>
    <row r="9969" spans="13:28" s="308" customFormat="1" x14ac:dyDescent="0.2">
      <c r="M9969" s="309"/>
      <c r="AB9969" s="310"/>
    </row>
    <row r="9970" spans="13:28" s="308" customFormat="1" x14ac:dyDescent="0.2">
      <c r="M9970" s="309"/>
      <c r="AB9970" s="310"/>
    </row>
    <row r="9971" spans="13:28" s="308" customFormat="1" x14ac:dyDescent="0.2">
      <c r="M9971" s="309"/>
      <c r="AB9971" s="310"/>
    </row>
    <row r="9972" spans="13:28" s="308" customFormat="1" x14ac:dyDescent="0.2">
      <c r="M9972" s="309"/>
      <c r="AB9972" s="310"/>
    </row>
    <row r="9973" spans="13:28" s="308" customFormat="1" x14ac:dyDescent="0.2">
      <c r="M9973" s="309"/>
      <c r="AB9973" s="310"/>
    </row>
    <row r="9974" spans="13:28" s="308" customFormat="1" x14ac:dyDescent="0.2">
      <c r="M9974" s="309"/>
      <c r="AB9974" s="310"/>
    </row>
    <row r="9975" spans="13:28" s="308" customFormat="1" x14ac:dyDescent="0.2">
      <c r="M9975" s="309"/>
      <c r="AB9975" s="310"/>
    </row>
    <row r="9976" spans="13:28" s="308" customFormat="1" x14ac:dyDescent="0.2">
      <c r="M9976" s="309"/>
      <c r="AB9976" s="310"/>
    </row>
    <row r="9977" spans="13:28" s="308" customFormat="1" x14ac:dyDescent="0.2">
      <c r="M9977" s="309"/>
      <c r="AB9977" s="310"/>
    </row>
    <row r="9978" spans="13:28" s="308" customFormat="1" x14ac:dyDescent="0.2">
      <c r="M9978" s="309"/>
      <c r="AB9978" s="310"/>
    </row>
    <row r="9979" spans="13:28" s="308" customFormat="1" x14ac:dyDescent="0.2">
      <c r="M9979" s="309"/>
      <c r="AB9979" s="310"/>
    </row>
    <row r="9980" spans="13:28" s="308" customFormat="1" x14ac:dyDescent="0.2">
      <c r="M9980" s="309"/>
      <c r="AB9980" s="310"/>
    </row>
    <row r="9981" spans="13:28" s="308" customFormat="1" x14ac:dyDescent="0.2">
      <c r="M9981" s="309"/>
      <c r="AB9981" s="310"/>
    </row>
    <row r="9982" spans="13:28" s="308" customFormat="1" x14ac:dyDescent="0.2">
      <c r="M9982" s="309"/>
      <c r="AB9982" s="310"/>
    </row>
    <row r="9983" spans="13:28" s="308" customFormat="1" x14ac:dyDescent="0.2">
      <c r="M9983" s="309"/>
      <c r="AB9983" s="310"/>
    </row>
    <row r="9984" spans="13:28" s="308" customFormat="1" x14ac:dyDescent="0.2">
      <c r="M9984" s="309"/>
      <c r="AB9984" s="310"/>
    </row>
    <row r="9985" spans="13:28" s="308" customFormat="1" x14ac:dyDescent="0.2">
      <c r="M9985" s="309"/>
      <c r="AB9985" s="310"/>
    </row>
    <row r="9986" spans="13:28" s="308" customFormat="1" x14ac:dyDescent="0.2">
      <c r="M9986" s="309"/>
      <c r="AB9986" s="310"/>
    </row>
    <row r="9987" spans="13:28" s="308" customFormat="1" x14ac:dyDescent="0.2">
      <c r="M9987" s="309"/>
      <c r="AB9987" s="310"/>
    </row>
    <row r="9988" spans="13:28" s="308" customFormat="1" x14ac:dyDescent="0.2">
      <c r="M9988" s="309"/>
      <c r="AB9988" s="310"/>
    </row>
    <row r="9989" spans="13:28" s="308" customFormat="1" x14ac:dyDescent="0.2">
      <c r="M9989" s="309"/>
      <c r="AB9989" s="310"/>
    </row>
    <row r="9990" spans="13:28" s="308" customFormat="1" x14ac:dyDescent="0.2">
      <c r="M9990" s="309"/>
      <c r="AB9990" s="310"/>
    </row>
    <row r="9991" spans="13:28" s="308" customFormat="1" x14ac:dyDescent="0.2">
      <c r="M9991" s="309"/>
      <c r="AB9991" s="310"/>
    </row>
    <row r="9992" spans="13:28" s="308" customFormat="1" x14ac:dyDescent="0.2">
      <c r="M9992" s="309"/>
      <c r="AB9992" s="310"/>
    </row>
    <row r="9993" spans="13:28" s="308" customFormat="1" x14ac:dyDescent="0.2">
      <c r="M9993" s="309"/>
      <c r="AB9993" s="310"/>
    </row>
    <row r="9994" spans="13:28" s="308" customFormat="1" x14ac:dyDescent="0.2">
      <c r="M9994" s="309"/>
      <c r="AB9994" s="310"/>
    </row>
    <row r="9995" spans="13:28" s="308" customFormat="1" x14ac:dyDescent="0.2">
      <c r="M9995" s="309"/>
      <c r="AB9995" s="310"/>
    </row>
    <row r="9996" spans="13:28" s="308" customFormat="1" x14ac:dyDescent="0.2">
      <c r="M9996" s="309"/>
      <c r="AB9996" s="310"/>
    </row>
    <row r="9997" spans="13:28" s="308" customFormat="1" x14ac:dyDescent="0.2">
      <c r="M9997" s="309"/>
      <c r="AB9997" s="310"/>
    </row>
    <row r="9998" spans="13:28" s="308" customFormat="1" x14ac:dyDescent="0.2">
      <c r="M9998" s="309"/>
      <c r="AB9998" s="310"/>
    </row>
    <row r="9999" spans="13:28" s="308" customFormat="1" x14ac:dyDescent="0.2">
      <c r="M9999" s="309"/>
      <c r="AB9999" s="310"/>
    </row>
    <row r="10000" spans="13:28" s="308" customFormat="1" x14ac:dyDescent="0.2">
      <c r="M10000" s="309"/>
      <c r="AB10000" s="310"/>
    </row>
    <row r="10001" spans="13:28" s="308" customFormat="1" x14ac:dyDescent="0.2">
      <c r="M10001" s="309"/>
      <c r="AB10001" s="310"/>
    </row>
    <row r="10002" spans="13:28" s="308" customFormat="1" x14ac:dyDescent="0.2">
      <c r="M10002" s="309"/>
      <c r="AB10002" s="310"/>
    </row>
    <row r="10003" spans="13:28" s="308" customFormat="1" x14ac:dyDescent="0.2">
      <c r="M10003" s="309"/>
      <c r="AB10003" s="310"/>
    </row>
    <row r="10004" spans="13:28" s="308" customFormat="1" x14ac:dyDescent="0.2">
      <c r="M10004" s="309"/>
      <c r="AB10004" s="310"/>
    </row>
    <row r="10005" spans="13:28" s="308" customFormat="1" x14ac:dyDescent="0.2">
      <c r="M10005" s="309"/>
      <c r="AB10005" s="310"/>
    </row>
    <row r="10006" spans="13:28" s="308" customFormat="1" x14ac:dyDescent="0.2">
      <c r="M10006" s="309"/>
      <c r="AB10006" s="310"/>
    </row>
    <row r="10007" spans="13:28" s="308" customFormat="1" x14ac:dyDescent="0.2">
      <c r="M10007" s="309"/>
      <c r="AB10007" s="310"/>
    </row>
    <row r="10008" spans="13:28" s="308" customFormat="1" x14ac:dyDescent="0.2">
      <c r="M10008" s="309"/>
      <c r="AB10008" s="310"/>
    </row>
    <row r="10009" spans="13:28" s="308" customFormat="1" x14ac:dyDescent="0.2">
      <c r="M10009" s="309"/>
      <c r="AB10009" s="310"/>
    </row>
    <row r="10010" spans="13:28" s="308" customFormat="1" x14ac:dyDescent="0.2">
      <c r="M10010" s="309"/>
      <c r="AB10010" s="310"/>
    </row>
    <row r="10011" spans="13:28" s="308" customFormat="1" x14ac:dyDescent="0.2">
      <c r="M10011" s="309"/>
      <c r="AB10011" s="310"/>
    </row>
    <row r="10012" spans="13:28" s="308" customFormat="1" x14ac:dyDescent="0.2">
      <c r="M10012" s="309"/>
      <c r="AB10012" s="310"/>
    </row>
    <row r="10013" spans="13:28" s="308" customFormat="1" x14ac:dyDescent="0.2">
      <c r="M10013" s="309"/>
      <c r="AB10013" s="310"/>
    </row>
    <row r="10014" spans="13:28" s="308" customFormat="1" x14ac:dyDescent="0.2">
      <c r="M10014" s="309"/>
      <c r="AB10014" s="310"/>
    </row>
    <row r="10015" spans="13:28" s="308" customFormat="1" x14ac:dyDescent="0.2">
      <c r="M10015" s="309"/>
      <c r="AB10015" s="310"/>
    </row>
    <row r="10016" spans="13:28" s="308" customFormat="1" x14ac:dyDescent="0.2">
      <c r="M10016" s="309"/>
      <c r="AB10016" s="310"/>
    </row>
    <row r="10017" spans="13:28" s="308" customFormat="1" x14ac:dyDescent="0.2">
      <c r="M10017" s="309"/>
      <c r="AB10017" s="310"/>
    </row>
    <row r="10018" spans="13:28" s="308" customFormat="1" x14ac:dyDescent="0.2">
      <c r="M10018" s="309"/>
      <c r="AB10018" s="310"/>
    </row>
    <row r="10019" spans="13:28" s="308" customFormat="1" x14ac:dyDescent="0.2">
      <c r="M10019" s="309"/>
      <c r="AB10019" s="310"/>
    </row>
    <row r="10020" spans="13:28" s="308" customFormat="1" x14ac:dyDescent="0.2">
      <c r="M10020" s="309"/>
      <c r="AB10020" s="310"/>
    </row>
    <row r="10021" spans="13:28" s="308" customFormat="1" x14ac:dyDescent="0.2">
      <c r="M10021" s="309"/>
      <c r="AB10021" s="310"/>
    </row>
    <row r="10022" spans="13:28" s="308" customFormat="1" x14ac:dyDescent="0.2">
      <c r="M10022" s="309"/>
      <c r="AB10022" s="310"/>
    </row>
    <row r="10023" spans="13:28" s="308" customFormat="1" x14ac:dyDescent="0.2">
      <c r="M10023" s="309"/>
      <c r="AB10023" s="310"/>
    </row>
    <row r="10024" spans="13:28" s="308" customFormat="1" x14ac:dyDescent="0.2">
      <c r="M10024" s="309"/>
      <c r="AB10024" s="310"/>
    </row>
    <row r="10025" spans="13:28" s="308" customFormat="1" x14ac:dyDescent="0.2">
      <c r="M10025" s="309"/>
      <c r="AB10025" s="310"/>
    </row>
    <row r="10026" spans="13:28" s="308" customFormat="1" x14ac:dyDescent="0.2">
      <c r="M10026" s="309"/>
      <c r="AB10026" s="310"/>
    </row>
    <row r="10027" spans="13:28" s="308" customFormat="1" x14ac:dyDescent="0.2">
      <c r="M10027" s="309"/>
      <c r="AB10027" s="310"/>
    </row>
    <row r="10028" spans="13:28" s="308" customFormat="1" x14ac:dyDescent="0.2">
      <c r="M10028" s="309"/>
      <c r="AB10028" s="310"/>
    </row>
    <row r="10029" spans="13:28" s="308" customFormat="1" x14ac:dyDescent="0.2">
      <c r="M10029" s="309"/>
      <c r="AB10029" s="310"/>
    </row>
    <row r="10030" spans="13:28" s="308" customFormat="1" x14ac:dyDescent="0.2">
      <c r="M10030" s="309"/>
      <c r="AB10030" s="310"/>
    </row>
    <row r="10031" spans="13:28" s="308" customFormat="1" x14ac:dyDescent="0.2">
      <c r="M10031" s="309"/>
      <c r="AB10031" s="310"/>
    </row>
    <row r="10032" spans="13:28" s="308" customFormat="1" x14ac:dyDescent="0.2">
      <c r="M10032" s="309"/>
      <c r="AB10032" s="310"/>
    </row>
    <row r="10033" spans="13:28" s="308" customFormat="1" x14ac:dyDescent="0.2">
      <c r="M10033" s="309"/>
      <c r="AB10033" s="310"/>
    </row>
    <row r="10034" spans="13:28" s="308" customFormat="1" x14ac:dyDescent="0.2">
      <c r="M10034" s="309"/>
      <c r="AB10034" s="310"/>
    </row>
    <row r="10035" spans="13:28" s="308" customFormat="1" x14ac:dyDescent="0.2">
      <c r="M10035" s="309"/>
      <c r="AB10035" s="310"/>
    </row>
    <row r="10036" spans="13:28" s="308" customFormat="1" x14ac:dyDescent="0.2">
      <c r="M10036" s="309"/>
      <c r="AB10036" s="310"/>
    </row>
    <row r="10037" spans="13:28" s="308" customFormat="1" x14ac:dyDescent="0.2">
      <c r="M10037" s="309"/>
      <c r="AB10037" s="310"/>
    </row>
    <row r="10038" spans="13:28" s="308" customFormat="1" x14ac:dyDescent="0.2">
      <c r="M10038" s="309"/>
      <c r="AB10038" s="310"/>
    </row>
    <row r="10039" spans="13:28" s="308" customFormat="1" x14ac:dyDescent="0.2">
      <c r="M10039" s="309"/>
      <c r="AB10039" s="310"/>
    </row>
    <row r="10040" spans="13:28" s="308" customFormat="1" x14ac:dyDescent="0.2">
      <c r="M10040" s="309"/>
      <c r="AB10040" s="310"/>
    </row>
    <row r="10041" spans="13:28" s="308" customFormat="1" x14ac:dyDescent="0.2">
      <c r="M10041" s="309"/>
      <c r="AB10041" s="310"/>
    </row>
    <row r="10042" spans="13:28" s="308" customFormat="1" x14ac:dyDescent="0.2">
      <c r="M10042" s="309"/>
      <c r="AB10042" s="310"/>
    </row>
    <row r="10043" spans="13:28" s="308" customFormat="1" x14ac:dyDescent="0.2">
      <c r="M10043" s="309"/>
      <c r="AB10043" s="310"/>
    </row>
    <row r="10044" spans="13:28" s="308" customFormat="1" x14ac:dyDescent="0.2">
      <c r="M10044" s="309"/>
      <c r="AB10044" s="310"/>
    </row>
    <row r="10045" spans="13:28" s="308" customFormat="1" x14ac:dyDescent="0.2">
      <c r="M10045" s="309"/>
      <c r="AB10045" s="310"/>
    </row>
    <row r="10046" spans="13:28" s="308" customFormat="1" x14ac:dyDescent="0.2">
      <c r="M10046" s="309"/>
      <c r="AB10046" s="310"/>
    </row>
    <row r="10047" spans="13:28" s="308" customFormat="1" x14ac:dyDescent="0.2">
      <c r="M10047" s="309"/>
      <c r="AB10047" s="310"/>
    </row>
    <row r="10048" spans="13:28" s="308" customFormat="1" x14ac:dyDescent="0.2">
      <c r="M10048" s="309"/>
      <c r="AB10048" s="310"/>
    </row>
    <row r="10049" spans="13:28" s="308" customFormat="1" x14ac:dyDescent="0.2">
      <c r="M10049" s="309"/>
      <c r="AB10049" s="310"/>
    </row>
    <row r="10050" spans="13:28" s="308" customFormat="1" x14ac:dyDescent="0.2">
      <c r="M10050" s="309"/>
      <c r="AB10050" s="310"/>
    </row>
    <row r="10051" spans="13:28" s="308" customFormat="1" x14ac:dyDescent="0.2">
      <c r="M10051" s="309"/>
      <c r="AB10051" s="310"/>
    </row>
    <row r="10052" spans="13:28" s="308" customFormat="1" x14ac:dyDescent="0.2">
      <c r="M10052" s="309"/>
      <c r="AB10052" s="310"/>
    </row>
    <row r="10053" spans="13:28" s="308" customFormat="1" x14ac:dyDescent="0.2">
      <c r="M10053" s="309"/>
      <c r="AB10053" s="310"/>
    </row>
    <row r="10054" spans="13:28" s="308" customFormat="1" x14ac:dyDescent="0.2">
      <c r="M10054" s="309"/>
      <c r="AB10054" s="310"/>
    </row>
    <row r="10055" spans="13:28" s="308" customFormat="1" x14ac:dyDescent="0.2">
      <c r="M10055" s="309"/>
      <c r="AB10055" s="310"/>
    </row>
    <row r="10056" spans="13:28" s="308" customFormat="1" x14ac:dyDescent="0.2">
      <c r="M10056" s="309"/>
      <c r="AB10056" s="310"/>
    </row>
    <row r="10057" spans="13:28" s="308" customFormat="1" x14ac:dyDescent="0.2">
      <c r="M10057" s="309"/>
      <c r="AB10057" s="310"/>
    </row>
    <row r="10058" spans="13:28" s="308" customFormat="1" x14ac:dyDescent="0.2">
      <c r="M10058" s="309"/>
      <c r="AB10058" s="310"/>
    </row>
    <row r="10059" spans="13:28" s="308" customFormat="1" x14ac:dyDescent="0.2">
      <c r="M10059" s="309"/>
      <c r="AB10059" s="310"/>
    </row>
    <row r="10060" spans="13:28" s="308" customFormat="1" x14ac:dyDescent="0.2">
      <c r="M10060" s="309"/>
      <c r="AB10060" s="310"/>
    </row>
    <row r="10061" spans="13:28" s="308" customFormat="1" x14ac:dyDescent="0.2">
      <c r="M10061" s="309"/>
      <c r="AB10061" s="310"/>
    </row>
    <row r="10062" spans="13:28" s="308" customFormat="1" x14ac:dyDescent="0.2">
      <c r="M10062" s="309"/>
      <c r="AB10062" s="310"/>
    </row>
    <row r="10063" spans="13:28" s="308" customFormat="1" x14ac:dyDescent="0.2">
      <c r="M10063" s="309"/>
      <c r="AB10063" s="310"/>
    </row>
    <row r="10064" spans="13:28" s="308" customFormat="1" x14ac:dyDescent="0.2">
      <c r="M10064" s="309"/>
      <c r="AB10064" s="310"/>
    </row>
    <row r="10065" spans="13:28" s="308" customFormat="1" x14ac:dyDescent="0.2">
      <c r="M10065" s="309"/>
      <c r="AB10065" s="310"/>
    </row>
    <row r="10066" spans="13:28" s="308" customFormat="1" x14ac:dyDescent="0.2">
      <c r="M10066" s="309"/>
      <c r="AB10066" s="310"/>
    </row>
    <row r="10067" spans="13:28" s="308" customFormat="1" x14ac:dyDescent="0.2">
      <c r="M10067" s="309"/>
      <c r="AB10067" s="310"/>
    </row>
    <row r="10068" spans="13:28" s="308" customFormat="1" x14ac:dyDescent="0.2">
      <c r="M10068" s="309"/>
      <c r="AB10068" s="310"/>
    </row>
    <row r="10069" spans="13:28" s="308" customFormat="1" x14ac:dyDescent="0.2">
      <c r="M10069" s="309"/>
      <c r="AB10069" s="310"/>
    </row>
    <row r="10070" spans="13:28" s="308" customFormat="1" x14ac:dyDescent="0.2">
      <c r="M10070" s="309"/>
      <c r="AB10070" s="310"/>
    </row>
    <row r="10071" spans="13:28" s="308" customFormat="1" x14ac:dyDescent="0.2">
      <c r="M10071" s="309"/>
      <c r="AB10071" s="310"/>
    </row>
    <row r="10072" spans="13:28" s="308" customFormat="1" x14ac:dyDescent="0.2">
      <c r="M10072" s="309"/>
      <c r="AB10072" s="310"/>
    </row>
    <row r="10073" spans="13:28" s="308" customFormat="1" x14ac:dyDescent="0.2">
      <c r="M10073" s="309"/>
      <c r="AB10073" s="310"/>
    </row>
    <row r="10074" spans="13:28" s="308" customFormat="1" x14ac:dyDescent="0.2">
      <c r="M10074" s="309"/>
      <c r="AB10074" s="310"/>
    </row>
    <row r="10075" spans="13:28" s="308" customFormat="1" x14ac:dyDescent="0.2">
      <c r="M10075" s="309"/>
      <c r="AB10075" s="310"/>
    </row>
    <row r="10076" spans="13:28" s="308" customFormat="1" x14ac:dyDescent="0.2">
      <c r="M10076" s="309"/>
      <c r="AB10076" s="310"/>
    </row>
    <row r="10077" spans="13:28" s="308" customFormat="1" x14ac:dyDescent="0.2">
      <c r="M10077" s="309"/>
      <c r="AB10077" s="310"/>
    </row>
    <row r="10078" spans="13:28" s="308" customFormat="1" x14ac:dyDescent="0.2">
      <c r="M10078" s="309"/>
      <c r="AB10078" s="310"/>
    </row>
    <row r="10079" spans="13:28" s="308" customFormat="1" x14ac:dyDescent="0.2">
      <c r="M10079" s="309"/>
      <c r="AB10079" s="310"/>
    </row>
    <row r="10080" spans="13:28" s="308" customFormat="1" x14ac:dyDescent="0.2">
      <c r="M10080" s="309"/>
      <c r="AB10080" s="310"/>
    </row>
    <row r="10081" spans="13:28" s="308" customFormat="1" x14ac:dyDescent="0.2">
      <c r="M10081" s="309"/>
      <c r="AB10081" s="310"/>
    </row>
    <row r="10082" spans="13:28" s="308" customFormat="1" x14ac:dyDescent="0.2">
      <c r="M10082" s="309"/>
      <c r="AB10082" s="310"/>
    </row>
    <row r="10083" spans="13:28" s="308" customFormat="1" x14ac:dyDescent="0.2">
      <c r="M10083" s="309"/>
      <c r="AB10083" s="310"/>
    </row>
    <row r="10084" spans="13:28" s="308" customFormat="1" x14ac:dyDescent="0.2">
      <c r="M10084" s="309"/>
      <c r="AB10084" s="310"/>
    </row>
    <row r="10085" spans="13:28" s="308" customFormat="1" x14ac:dyDescent="0.2">
      <c r="M10085" s="309"/>
      <c r="AB10085" s="310"/>
    </row>
    <row r="10086" spans="13:28" s="308" customFormat="1" x14ac:dyDescent="0.2">
      <c r="M10086" s="309"/>
      <c r="AB10086" s="310"/>
    </row>
    <row r="10087" spans="13:28" s="308" customFormat="1" x14ac:dyDescent="0.2">
      <c r="M10087" s="309"/>
      <c r="AB10087" s="310"/>
    </row>
    <row r="10088" spans="13:28" s="308" customFormat="1" x14ac:dyDescent="0.2">
      <c r="M10088" s="309"/>
      <c r="AB10088" s="310"/>
    </row>
    <row r="10089" spans="13:28" s="308" customFormat="1" x14ac:dyDescent="0.2">
      <c r="M10089" s="309"/>
      <c r="AB10089" s="310"/>
    </row>
    <row r="10090" spans="13:28" s="308" customFormat="1" x14ac:dyDescent="0.2">
      <c r="M10090" s="309"/>
      <c r="AB10090" s="310"/>
    </row>
    <row r="10091" spans="13:28" s="308" customFormat="1" x14ac:dyDescent="0.2">
      <c r="M10091" s="309"/>
      <c r="AB10091" s="310"/>
    </row>
    <row r="10092" spans="13:28" s="308" customFormat="1" x14ac:dyDescent="0.2">
      <c r="M10092" s="309"/>
      <c r="AB10092" s="310"/>
    </row>
    <row r="10093" spans="13:28" s="308" customFormat="1" x14ac:dyDescent="0.2">
      <c r="M10093" s="309"/>
      <c r="AB10093" s="310"/>
    </row>
    <row r="10094" spans="13:28" s="308" customFormat="1" x14ac:dyDescent="0.2">
      <c r="M10094" s="309"/>
      <c r="AB10094" s="310"/>
    </row>
    <row r="10095" spans="13:28" s="308" customFormat="1" x14ac:dyDescent="0.2">
      <c r="M10095" s="309"/>
      <c r="AB10095" s="310"/>
    </row>
    <row r="10096" spans="13:28" s="308" customFormat="1" x14ac:dyDescent="0.2">
      <c r="M10096" s="309"/>
      <c r="AB10096" s="310"/>
    </row>
    <row r="10097" spans="13:28" s="308" customFormat="1" x14ac:dyDescent="0.2">
      <c r="M10097" s="309"/>
      <c r="AB10097" s="310"/>
    </row>
    <row r="10098" spans="13:28" s="308" customFormat="1" x14ac:dyDescent="0.2">
      <c r="M10098" s="309"/>
      <c r="AB10098" s="310"/>
    </row>
    <row r="10099" spans="13:28" s="308" customFormat="1" x14ac:dyDescent="0.2">
      <c r="M10099" s="309"/>
      <c r="AB10099" s="310"/>
    </row>
    <row r="10100" spans="13:28" s="308" customFormat="1" x14ac:dyDescent="0.2">
      <c r="M10100" s="309"/>
      <c r="AB10100" s="310"/>
    </row>
    <row r="10101" spans="13:28" s="308" customFormat="1" x14ac:dyDescent="0.2">
      <c r="M10101" s="309"/>
      <c r="AB10101" s="310"/>
    </row>
    <row r="10102" spans="13:28" s="308" customFormat="1" x14ac:dyDescent="0.2">
      <c r="M10102" s="309"/>
      <c r="AB10102" s="310"/>
    </row>
    <row r="10103" spans="13:28" s="308" customFormat="1" x14ac:dyDescent="0.2">
      <c r="M10103" s="309"/>
      <c r="AB10103" s="310"/>
    </row>
    <row r="10104" spans="13:28" s="308" customFormat="1" x14ac:dyDescent="0.2">
      <c r="M10104" s="309"/>
      <c r="AB10104" s="310"/>
    </row>
    <row r="10105" spans="13:28" s="308" customFormat="1" x14ac:dyDescent="0.2">
      <c r="M10105" s="309"/>
      <c r="AB10105" s="310"/>
    </row>
    <row r="10106" spans="13:28" s="308" customFormat="1" x14ac:dyDescent="0.2">
      <c r="M10106" s="309"/>
      <c r="AB10106" s="310"/>
    </row>
    <row r="10107" spans="13:28" s="308" customFormat="1" x14ac:dyDescent="0.2">
      <c r="M10107" s="309"/>
      <c r="AB10107" s="310"/>
    </row>
    <row r="10108" spans="13:28" s="308" customFormat="1" x14ac:dyDescent="0.2">
      <c r="M10108" s="309"/>
      <c r="AB10108" s="310"/>
    </row>
    <row r="10109" spans="13:28" s="308" customFormat="1" x14ac:dyDescent="0.2">
      <c r="M10109" s="309"/>
      <c r="AB10109" s="310"/>
    </row>
    <row r="10110" spans="13:28" s="308" customFormat="1" x14ac:dyDescent="0.2">
      <c r="M10110" s="309"/>
      <c r="AB10110" s="310"/>
    </row>
    <row r="10111" spans="13:28" s="308" customFormat="1" x14ac:dyDescent="0.2">
      <c r="M10111" s="309"/>
      <c r="AB10111" s="310"/>
    </row>
    <row r="10112" spans="13:28" s="308" customFormat="1" x14ac:dyDescent="0.2">
      <c r="M10112" s="309"/>
      <c r="AB10112" s="310"/>
    </row>
    <row r="10113" spans="13:28" s="308" customFormat="1" x14ac:dyDescent="0.2">
      <c r="M10113" s="309"/>
      <c r="AB10113" s="310"/>
    </row>
    <row r="10114" spans="13:28" s="308" customFormat="1" x14ac:dyDescent="0.2">
      <c r="M10114" s="309"/>
      <c r="AB10114" s="310"/>
    </row>
    <row r="10115" spans="13:28" s="308" customFormat="1" x14ac:dyDescent="0.2">
      <c r="M10115" s="309"/>
      <c r="AB10115" s="310"/>
    </row>
    <row r="10116" spans="13:28" s="308" customFormat="1" x14ac:dyDescent="0.2">
      <c r="M10116" s="309"/>
      <c r="AB10116" s="310"/>
    </row>
    <row r="10117" spans="13:28" s="308" customFormat="1" x14ac:dyDescent="0.2">
      <c r="M10117" s="309"/>
      <c r="AB10117" s="310"/>
    </row>
    <row r="10118" spans="13:28" s="308" customFormat="1" x14ac:dyDescent="0.2">
      <c r="M10118" s="309"/>
      <c r="AB10118" s="310"/>
    </row>
    <row r="10119" spans="13:28" s="308" customFormat="1" x14ac:dyDescent="0.2">
      <c r="M10119" s="309"/>
      <c r="AB10119" s="310"/>
    </row>
    <row r="10120" spans="13:28" s="308" customFormat="1" x14ac:dyDescent="0.2">
      <c r="M10120" s="309"/>
      <c r="AB10120" s="310"/>
    </row>
    <row r="10121" spans="13:28" s="308" customFormat="1" x14ac:dyDescent="0.2">
      <c r="M10121" s="309"/>
      <c r="AB10121" s="310"/>
    </row>
    <row r="10122" spans="13:28" s="308" customFormat="1" x14ac:dyDescent="0.2">
      <c r="M10122" s="309"/>
      <c r="AB10122" s="310"/>
    </row>
    <row r="10123" spans="13:28" s="308" customFormat="1" x14ac:dyDescent="0.2">
      <c r="M10123" s="309"/>
      <c r="AB10123" s="310"/>
    </row>
    <row r="10124" spans="13:28" s="308" customFormat="1" x14ac:dyDescent="0.2">
      <c r="M10124" s="309"/>
      <c r="AB10124" s="310"/>
    </row>
    <row r="10125" spans="13:28" s="308" customFormat="1" x14ac:dyDescent="0.2">
      <c r="M10125" s="309"/>
      <c r="AB10125" s="310"/>
    </row>
    <row r="10126" spans="13:28" s="308" customFormat="1" x14ac:dyDescent="0.2">
      <c r="M10126" s="309"/>
      <c r="AB10126" s="310"/>
    </row>
    <row r="10127" spans="13:28" s="308" customFormat="1" x14ac:dyDescent="0.2">
      <c r="M10127" s="309"/>
      <c r="AB10127" s="310"/>
    </row>
    <row r="10128" spans="13:28" s="308" customFormat="1" x14ac:dyDescent="0.2">
      <c r="M10128" s="309"/>
      <c r="AB10128" s="310"/>
    </row>
    <row r="10129" spans="13:28" s="308" customFormat="1" x14ac:dyDescent="0.2">
      <c r="M10129" s="309"/>
      <c r="AB10129" s="310"/>
    </row>
    <row r="10130" spans="13:28" s="308" customFormat="1" x14ac:dyDescent="0.2">
      <c r="M10130" s="309"/>
      <c r="AB10130" s="310"/>
    </row>
    <row r="10131" spans="13:28" s="308" customFormat="1" x14ac:dyDescent="0.2">
      <c r="M10131" s="309"/>
      <c r="AB10131" s="310"/>
    </row>
    <row r="10132" spans="13:28" s="308" customFormat="1" x14ac:dyDescent="0.2">
      <c r="M10132" s="309"/>
      <c r="AB10132" s="310"/>
    </row>
    <row r="10133" spans="13:28" s="308" customFormat="1" x14ac:dyDescent="0.2">
      <c r="M10133" s="309"/>
      <c r="AB10133" s="310"/>
    </row>
    <row r="10134" spans="13:28" s="308" customFormat="1" x14ac:dyDescent="0.2">
      <c r="M10134" s="309"/>
      <c r="AB10134" s="310"/>
    </row>
    <row r="10135" spans="13:28" s="308" customFormat="1" x14ac:dyDescent="0.2">
      <c r="M10135" s="309"/>
      <c r="AB10135" s="310"/>
    </row>
    <row r="10136" spans="13:28" s="308" customFormat="1" x14ac:dyDescent="0.2">
      <c r="M10136" s="309"/>
      <c r="AB10136" s="310"/>
    </row>
    <row r="10137" spans="13:28" s="308" customFormat="1" x14ac:dyDescent="0.2">
      <c r="M10137" s="309"/>
      <c r="AB10137" s="310"/>
    </row>
    <row r="10138" spans="13:28" s="308" customFormat="1" x14ac:dyDescent="0.2">
      <c r="M10138" s="309"/>
      <c r="AB10138" s="310"/>
    </row>
    <row r="10139" spans="13:28" s="308" customFormat="1" x14ac:dyDescent="0.2">
      <c r="M10139" s="309"/>
      <c r="AB10139" s="310"/>
    </row>
    <row r="10140" spans="13:28" s="308" customFormat="1" x14ac:dyDescent="0.2">
      <c r="M10140" s="309"/>
      <c r="AB10140" s="310"/>
    </row>
    <row r="10141" spans="13:28" s="308" customFormat="1" x14ac:dyDescent="0.2">
      <c r="M10141" s="309"/>
      <c r="AB10141" s="310"/>
    </row>
    <row r="10142" spans="13:28" s="308" customFormat="1" x14ac:dyDescent="0.2">
      <c r="M10142" s="309"/>
      <c r="AB10142" s="310"/>
    </row>
    <row r="10143" spans="13:28" s="308" customFormat="1" x14ac:dyDescent="0.2">
      <c r="M10143" s="309"/>
      <c r="AB10143" s="310"/>
    </row>
    <row r="10144" spans="13:28" s="308" customFormat="1" x14ac:dyDescent="0.2">
      <c r="M10144" s="309"/>
      <c r="AB10144" s="310"/>
    </row>
    <row r="10145" spans="13:28" s="308" customFormat="1" x14ac:dyDescent="0.2">
      <c r="M10145" s="309"/>
      <c r="AB10145" s="310"/>
    </row>
    <row r="10146" spans="13:28" s="308" customFormat="1" x14ac:dyDescent="0.2">
      <c r="M10146" s="309"/>
      <c r="AB10146" s="310"/>
    </row>
    <row r="10147" spans="13:28" s="308" customFormat="1" x14ac:dyDescent="0.2">
      <c r="M10147" s="309"/>
      <c r="AB10147" s="310"/>
    </row>
    <row r="10148" spans="13:28" s="308" customFormat="1" x14ac:dyDescent="0.2">
      <c r="M10148" s="309"/>
      <c r="AB10148" s="310"/>
    </row>
    <row r="10149" spans="13:28" s="308" customFormat="1" x14ac:dyDescent="0.2">
      <c r="M10149" s="309"/>
      <c r="AB10149" s="310"/>
    </row>
    <row r="10150" spans="13:28" s="308" customFormat="1" x14ac:dyDescent="0.2">
      <c r="M10150" s="309"/>
      <c r="AB10150" s="310"/>
    </row>
    <row r="10151" spans="13:28" s="308" customFormat="1" x14ac:dyDescent="0.2">
      <c r="M10151" s="309"/>
      <c r="AB10151" s="310"/>
    </row>
    <row r="10152" spans="13:28" s="308" customFormat="1" x14ac:dyDescent="0.2">
      <c r="M10152" s="309"/>
      <c r="AB10152" s="310"/>
    </row>
    <row r="10153" spans="13:28" s="308" customFormat="1" x14ac:dyDescent="0.2">
      <c r="M10153" s="309"/>
      <c r="AB10153" s="310"/>
    </row>
    <row r="10154" spans="13:28" s="308" customFormat="1" x14ac:dyDescent="0.2">
      <c r="M10154" s="309"/>
      <c r="AB10154" s="310"/>
    </row>
    <row r="10155" spans="13:28" s="308" customFormat="1" x14ac:dyDescent="0.2">
      <c r="M10155" s="309"/>
      <c r="AB10155" s="310"/>
    </row>
    <row r="10156" spans="13:28" s="308" customFormat="1" x14ac:dyDescent="0.2">
      <c r="M10156" s="309"/>
      <c r="AB10156" s="310"/>
    </row>
    <row r="10157" spans="13:28" s="308" customFormat="1" x14ac:dyDescent="0.2">
      <c r="M10157" s="309"/>
      <c r="AB10157" s="310"/>
    </row>
    <row r="10158" spans="13:28" s="308" customFormat="1" x14ac:dyDescent="0.2">
      <c r="M10158" s="309"/>
      <c r="AB10158" s="310"/>
    </row>
    <row r="10159" spans="13:28" s="308" customFormat="1" x14ac:dyDescent="0.2">
      <c r="M10159" s="309"/>
      <c r="AB10159" s="310"/>
    </row>
    <row r="10160" spans="13:28" s="308" customFormat="1" x14ac:dyDescent="0.2">
      <c r="M10160" s="309"/>
      <c r="AB10160" s="310"/>
    </row>
    <row r="10161" spans="13:28" s="308" customFormat="1" x14ac:dyDescent="0.2">
      <c r="M10161" s="309"/>
      <c r="AB10161" s="310"/>
    </row>
    <row r="10162" spans="13:28" s="308" customFormat="1" x14ac:dyDescent="0.2">
      <c r="M10162" s="309"/>
      <c r="AB10162" s="310"/>
    </row>
    <row r="10163" spans="13:28" s="308" customFormat="1" x14ac:dyDescent="0.2">
      <c r="M10163" s="309"/>
      <c r="AB10163" s="310"/>
    </row>
    <row r="10164" spans="13:28" s="308" customFormat="1" x14ac:dyDescent="0.2">
      <c r="M10164" s="309"/>
      <c r="AB10164" s="310"/>
    </row>
    <row r="10165" spans="13:28" s="308" customFormat="1" x14ac:dyDescent="0.2">
      <c r="M10165" s="309"/>
      <c r="AB10165" s="310"/>
    </row>
    <row r="10166" spans="13:28" s="308" customFormat="1" x14ac:dyDescent="0.2">
      <c r="M10166" s="309"/>
      <c r="AB10166" s="310"/>
    </row>
    <row r="10167" spans="13:28" s="308" customFormat="1" x14ac:dyDescent="0.2">
      <c r="M10167" s="309"/>
      <c r="AB10167" s="310"/>
    </row>
    <row r="10168" spans="13:28" s="308" customFormat="1" x14ac:dyDescent="0.2">
      <c r="M10168" s="309"/>
      <c r="AB10168" s="310"/>
    </row>
    <row r="10169" spans="13:28" s="308" customFormat="1" x14ac:dyDescent="0.2">
      <c r="M10169" s="309"/>
      <c r="AB10169" s="310"/>
    </row>
    <row r="10170" spans="13:28" s="308" customFormat="1" x14ac:dyDescent="0.2">
      <c r="M10170" s="309"/>
      <c r="AB10170" s="310"/>
    </row>
    <row r="10171" spans="13:28" s="308" customFormat="1" x14ac:dyDescent="0.2">
      <c r="M10171" s="309"/>
      <c r="AB10171" s="310"/>
    </row>
    <row r="10172" spans="13:28" s="308" customFormat="1" x14ac:dyDescent="0.2">
      <c r="M10172" s="309"/>
      <c r="AB10172" s="310"/>
    </row>
    <row r="10173" spans="13:28" s="308" customFormat="1" x14ac:dyDescent="0.2">
      <c r="M10173" s="309"/>
      <c r="AB10173" s="310"/>
    </row>
    <row r="10174" spans="13:28" s="308" customFormat="1" x14ac:dyDescent="0.2">
      <c r="M10174" s="309"/>
      <c r="AB10174" s="310"/>
    </row>
    <row r="10175" spans="13:28" s="308" customFormat="1" x14ac:dyDescent="0.2">
      <c r="M10175" s="309"/>
      <c r="AB10175" s="310"/>
    </row>
    <row r="10176" spans="13:28" s="308" customFormat="1" x14ac:dyDescent="0.2">
      <c r="M10176" s="309"/>
      <c r="AB10176" s="310"/>
    </row>
    <row r="10177" spans="13:28" s="308" customFormat="1" x14ac:dyDescent="0.2">
      <c r="M10177" s="309"/>
      <c r="AB10177" s="310"/>
    </row>
    <row r="10178" spans="13:28" s="308" customFormat="1" x14ac:dyDescent="0.2">
      <c r="M10178" s="309"/>
      <c r="AB10178" s="310"/>
    </row>
    <row r="10179" spans="13:28" s="308" customFormat="1" x14ac:dyDescent="0.2">
      <c r="M10179" s="309"/>
      <c r="AB10179" s="310"/>
    </row>
    <row r="10180" spans="13:28" s="308" customFormat="1" x14ac:dyDescent="0.2">
      <c r="M10180" s="309"/>
      <c r="AB10180" s="310"/>
    </row>
    <row r="10181" spans="13:28" s="308" customFormat="1" x14ac:dyDescent="0.2">
      <c r="M10181" s="309"/>
      <c r="AB10181" s="310"/>
    </row>
    <row r="10182" spans="13:28" s="308" customFormat="1" x14ac:dyDescent="0.2">
      <c r="M10182" s="309"/>
      <c r="AB10182" s="310"/>
    </row>
    <row r="10183" spans="13:28" s="308" customFormat="1" x14ac:dyDescent="0.2">
      <c r="M10183" s="309"/>
      <c r="AB10183" s="310"/>
    </row>
    <row r="10184" spans="13:28" s="308" customFormat="1" x14ac:dyDescent="0.2">
      <c r="M10184" s="309"/>
      <c r="AB10184" s="310"/>
    </row>
    <row r="10185" spans="13:28" s="308" customFormat="1" x14ac:dyDescent="0.2">
      <c r="M10185" s="309"/>
      <c r="AB10185" s="310"/>
    </row>
    <row r="10186" spans="13:28" s="308" customFormat="1" x14ac:dyDescent="0.2">
      <c r="M10186" s="309"/>
      <c r="AB10186" s="310"/>
    </row>
    <row r="10187" spans="13:28" s="308" customFormat="1" x14ac:dyDescent="0.2">
      <c r="M10187" s="309"/>
      <c r="AB10187" s="310"/>
    </row>
    <row r="10188" spans="13:28" s="308" customFormat="1" x14ac:dyDescent="0.2">
      <c r="M10188" s="309"/>
      <c r="AB10188" s="310"/>
    </row>
    <row r="10189" spans="13:28" s="308" customFormat="1" x14ac:dyDescent="0.2">
      <c r="M10189" s="309"/>
      <c r="AB10189" s="310"/>
    </row>
    <row r="10190" spans="13:28" s="308" customFormat="1" x14ac:dyDescent="0.2">
      <c r="M10190" s="309"/>
      <c r="AB10190" s="310"/>
    </row>
    <row r="10191" spans="13:28" s="308" customFormat="1" x14ac:dyDescent="0.2">
      <c r="M10191" s="309"/>
      <c r="AB10191" s="310"/>
    </row>
    <row r="10192" spans="13:28" s="308" customFormat="1" x14ac:dyDescent="0.2">
      <c r="M10192" s="309"/>
      <c r="AB10192" s="310"/>
    </row>
    <row r="10193" spans="13:28" s="308" customFormat="1" x14ac:dyDescent="0.2">
      <c r="M10193" s="309"/>
      <c r="AB10193" s="310"/>
    </row>
    <row r="10194" spans="13:28" s="308" customFormat="1" x14ac:dyDescent="0.2">
      <c r="M10194" s="309"/>
      <c r="AB10194" s="310"/>
    </row>
    <row r="10195" spans="13:28" s="308" customFormat="1" x14ac:dyDescent="0.2">
      <c r="M10195" s="309"/>
      <c r="AB10195" s="310"/>
    </row>
    <row r="10196" spans="13:28" s="308" customFormat="1" x14ac:dyDescent="0.2">
      <c r="M10196" s="309"/>
      <c r="AB10196" s="310"/>
    </row>
    <row r="10197" spans="13:28" s="308" customFormat="1" x14ac:dyDescent="0.2">
      <c r="M10197" s="309"/>
      <c r="AB10197" s="310"/>
    </row>
    <row r="10198" spans="13:28" s="308" customFormat="1" x14ac:dyDescent="0.2">
      <c r="M10198" s="309"/>
      <c r="AB10198" s="310"/>
    </row>
    <row r="10199" spans="13:28" s="308" customFormat="1" x14ac:dyDescent="0.2">
      <c r="M10199" s="309"/>
      <c r="AB10199" s="310"/>
    </row>
    <row r="10200" spans="13:28" s="308" customFormat="1" x14ac:dyDescent="0.2">
      <c r="M10200" s="309"/>
      <c r="AB10200" s="310"/>
    </row>
    <row r="10201" spans="13:28" s="308" customFormat="1" x14ac:dyDescent="0.2">
      <c r="M10201" s="309"/>
      <c r="AB10201" s="310"/>
    </row>
    <row r="10202" spans="13:28" s="308" customFormat="1" x14ac:dyDescent="0.2">
      <c r="M10202" s="309"/>
      <c r="AB10202" s="310"/>
    </row>
    <row r="10203" spans="13:28" s="308" customFormat="1" x14ac:dyDescent="0.2">
      <c r="M10203" s="309"/>
      <c r="AB10203" s="310"/>
    </row>
    <row r="10204" spans="13:28" s="308" customFormat="1" x14ac:dyDescent="0.2">
      <c r="M10204" s="309"/>
      <c r="AB10204" s="310"/>
    </row>
    <row r="10205" spans="13:28" s="308" customFormat="1" x14ac:dyDescent="0.2">
      <c r="M10205" s="309"/>
      <c r="AB10205" s="310"/>
    </row>
    <row r="10206" spans="13:28" s="308" customFormat="1" x14ac:dyDescent="0.2">
      <c r="M10206" s="309"/>
      <c r="AB10206" s="310"/>
    </row>
    <row r="10207" spans="13:28" s="308" customFormat="1" x14ac:dyDescent="0.2">
      <c r="M10207" s="309"/>
      <c r="AB10207" s="310"/>
    </row>
    <row r="10208" spans="13:28" s="308" customFormat="1" x14ac:dyDescent="0.2">
      <c r="M10208" s="309"/>
      <c r="AB10208" s="310"/>
    </row>
    <row r="10209" spans="13:28" s="308" customFormat="1" x14ac:dyDescent="0.2">
      <c r="M10209" s="309"/>
      <c r="AB10209" s="310"/>
    </row>
    <row r="10210" spans="13:28" s="308" customFormat="1" x14ac:dyDescent="0.2">
      <c r="M10210" s="309"/>
      <c r="AB10210" s="310"/>
    </row>
    <row r="10211" spans="13:28" s="308" customFormat="1" x14ac:dyDescent="0.2">
      <c r="M10211" s="309"/>
      <c r="AB10211" s="310"/>
    </row>
    <row r="10212" spans="13:28" s="308" customFormat="1" x14ac:dyDescent="0.2">
      <c r="M10212" s="309"/>
      <c r="AB10212" s="310"/>
    </row>
    <row r="10213" spans="13:28" s="308" customFormat="1" x14ac:dyDescent="0.2">
      <c r="M10213" s="309"/>
      <c r="AB10213" s="310"/>
    </row>
    <row r="10214" spans="13:28" s="308" customFormat="1" x14ac:dyDescent="0.2">
      <c r="M10214" s="309"/>
      <c r="AB10214" s="310"/>
    </row>
    <row r="10215" spans="13:28" s="308" customFormat="1" x14ac:dyDescent="0.2">
      <c r="M10215" s="309"/>
      <c r="AB10215" s="310"/>
    </row>
    <row r="10216" spans="13:28" s="308" customFormat="1" x14ac:dyDescent="0.2">
      <c r="M10216" s="309"/>
      <c r="AB10216" s="310"/>
    </row>
    <row r="10217" spans="13:28" s="308" customFormat="1" x14ac:dyDescent="0.2">
      <c r="M10217" s="309"/>
      <c r="AB10217" s="310"/>
    </row>
    <row r="10218" spans="13:28" s="308" customFormat="1" x14ac:dyDescent="0.2">
      <c r="M10218" s="309"/>
      <c r="AB10218" s="310"/>
    </row>
    <row r="10219" spans="13:28" s="308" customFormat="1" x14ac:dyDescent="0.2">
      <c r="M10219" s="309"/>
      <c r="AB10219" s="310"/>
    </row>
    <row r="10220" spans="13:28" s="308" customFormat="1" x14ac:dyDescent="0.2">
      <c r="M10220" s="309"/>
      <c r="AB10220" s="310"/>
    </row>
    <row r="10221" spans="13:28" s="308" customFormat="1" x14ac:dyDescent="0.2">
      <c r="M10221" s="309"/>
      <c r="AB10221" s="310"/>
    </row>
    <row r="10222" spans="13:28" s="308" customFormat="1" x14ac:dyDescent="0.2">
      <c r="M10222" s="309"/>
      <c r="AB10222" s="310"/>
    </row>
    <row r="10223" spans="13:28" s="308" customFormat="1" x14ac:dyDescent="0.2">
      <c r="M10223" s="309"/>
      <c r="AB10223" s="310"/>
    </row>
    <row r="10224" spans="13:28" s="308" customFormat="1" x14ac:dyDescent="0.2">
      <c r="M10224" s="309"/>
      <c r="AB10224" s="310"/>
    </row>
    <row r="10225" spans="13:28" s="308" customFormat="1" x14ac:dyDescent="0.2">
      <c r="M10225" s="309"/>
      <c r="AB10225" s="310"/>
    </row>
    <row r="10226" spans="13:28" s="308" customFormat="1" x14ac:dyDescent="0.2">
      <c r="M10226" s="309"/>
      <c r="AB10226" s="310"/>
    </row>
    <row r="10227" spans="13:28" s="308" customFormat="1" x14ac:dyDescent="0.2">
      <c r="M10227" s="309"/>
      <c r="AB10227" s="310"/>
    </row>
    <row r="10228" spans="13:28" s="308" customFormat="1" x14ac:dyDescent="0.2">
      <c r="M10228" s="309"/>
      <c r="AB10228" s="310"/>
    </row>
    <row r="10229" spans="13:28" s="308" customFormat="1" x14ac:dyDescent="0.2">
      <c r="M10229" s="309"/>
      <c r="AB10229" s="310"/>
    </row>
    <row r="10230" spans="13:28" s="308" customFormat="1" x14ac:dyDescent="0.2">
      <c r="M10230" s="309"/>
      <c r="AB10230" s="310"/>
    </row>
    <row r="10231" spans="13:28" s="308" customFormat="1" x14ac:dyDescent="0.2">
      <c r="M10231" s="309"/>
      <c r="AB10231" s="310"/>
    </row>
    <row r="10232" spans="13:28" s="308" customFormat="1" x14ac:dyDescent="0.2">
      <c r="M10232" s="309"/>
      <c r="AB10232" s="310"/>
    </row>
    <row r="10233" spans="13:28" s="308" customFormat="1" x14ac:dyDescent="0.2">
      <c r="M10233" s="309"/>
      <c r="AB10233" s="310"/>
    </row>
    <row r="10234" spans="13:28" s="308" customFormat="1" x14ac:dyDescent="0.2">
      <c r="M10234" s="309"/>
      <c r="AB10234" s="310"/>
    </row>
    <row r="10235" spans="13:28" s="308" customFormat="1" x14ac:dyDescent="0.2">
      <c r="M10235" s="309"/>
      <c r="AB10235" s="310"/>
    </row>
    <row r="10236" spans="13:28" s="308" customFormat="1" x14ac:dyDescent="0.2">
      <c r="M10236" s="309"/>
      <c r="AB10236" s="310"/>
    </row>
    <row r="10237" spans="13:28" s="308" customFormat="1" x14ac:dyDescent="0.2">
      <c r="M10237" s="309"/>
      <c r="AB10237" s="310"/>
    </row>
    <row r="10238" spans="13:28" s="308" customFormat="1" x14ac:dyDescent="0.2">
      <c r="M10238" s="309"/>
      <c r="AB10238" s="310"/>
    </row>
    <row r="10239" spans="13:28" s="308" customFormat="1" x14ac:dyDescent="0.2">
      <c r="M10239" s="309"/>
      <c r="AB10239" s="310"/>
    </row>
    <row r="10240" spans="13:28" s="308" customFormat="1" x14ac:dyDescent="0.2">
      <c r="M10240" s="309"/>
      <c r="AB10240" s="310"/>
    </row>
    <row r="10241" spans="13:28" s="308" customFormat="1" x14ac:dyDescent="0.2">
      <c r="M10241" s="309"/>
      <c r="AB10241" s="310"/>
    </row>
    <row r="10242" spans="13:28" s="308" customFormat="1" x14ac:dyDescent="0.2">
      <c r="M10242" s="309"/>
      <c r="AB10242" s="310"/>
    </row>
    <row r="10243" spans="13:28" s="308" customFormat="1" x14ac:dyDescent="0.2">
      <c r="M10243" s="309"/>
      <c r="AB10243" s="310"/>
    </row>
    <row r="10244" spans="13:28" s="308" customFormat="1" x14ac:dyDescent="0.2">
      <c r="M10244" s="309"/>
      <c r="AB10244" s="310"/>
    </row>
    <row r="10245" spans="13:28" s="308" customFormat="1" x14ac:dyDescent="0.2">
      <c r="M10245" s="309"/>
      <c r="AB10245" s="310"/>
    </row>
    <row r="10246" spans="13:28" s="308" customFormat="1" x14ac:dyDescent="0.2">
      <c r="M10246" s="309"/>
      <c r="AB10246" s="310"/>
    </row>
    <row r="10247" spans="13:28" s="308" customFormat="1" x14ac:dyDescent="0.2">
      <c r="M10247" s="309"/>
      <c r="AB10247" s="310"/>
    </row>
    <row r="10248" spans="13:28" s="308" customFormat="1" x14ac:dyDescent="0.2">
      <c r="M10248" s="309"/>
      <c r="AB10248" s="310"/>
    </row>
    <row r="10249" spans="13:28" s="308" customFormat="1" x14ac:dyDescent="0.2">
      <c r="M10249" s="309"/>
      <c r="AB10249" s="310"/>
    </row>
    <row r="10250" spans="13:28" s="308" customFormat="1" x14ac:dyDescent="0.2">
      <c r="M10250" s="309"/>
      <c r="AB10250" s="310"/>
    </row>
    <row r="10251" spans="13:28" s="308" customFormat="1" x14ac:dyDescent="0.2">
      <c r="M10251" s="309"/>
      <c r="AB10251" s="310"/>
    </row>
    <row r="10252" spans="13:28" s="308" customFormat="1" x14ac:dyDescent="0.2">
      <c r="M10252" s="309"/>
      <c r="AB10252" s="310"/>
    </row>
    <row r="10253" spans="13:28" s="308" customFormat="1" x14ac:dyDescent="0.2">
      <c r="M10253" s="309"/>
      <c r="AB10253" s="310"/>
    </row>
    <row r="10254" spans="13:28" s="308" customFormat="1" x14ac:dyDescent="0.2">
      <c r="M10254" s="309"/>
      <c r="AB10254" s="310"/>
    </row>
    <row r="10255" spans="13:28" s="308" customFormat="1" x14ac:dyDescent="0.2">
      <c r="M10255" s="309"/>
      <c r="AB10255" s="310"/>
    </row>
    <row r="10256" spans="13:28" s="308" customFormat="1" x14ac:dyDescent="0.2">
      <c r="M10256" s="309"/>
      <c r="AB10256" s="310"/>
    </row>
    <row r="10257" spans="13:28" s="308" customFormat="1" x14ac:dyDescent="0.2">
      <c r="M10257" s="309"/>
      <c r="AB10257" s="310"/>
    </row>
    <row r="10258" spans="13:28" s="308" customFormat="1" x14ac:dyDescent="0.2">
      <c r="M10258" s="309"/>
      <c r="AB10258" s="310"/>
    </row>
    <row r="10259" spans="13:28" s="308" customFormat="1" x14ac:dyDescent="0.2">
      <c r="M10259" s="309"/>
      <c r="AB10259" s="310"/>
    </row>
    <row r="10260" spans="13:28" s="308" customFormat="1" x14ac:dyDescent="0.2">
      <c r="M10260" s="309"/>
      <c r="AB10260" s="310"/>
    </row>
    <row r="10261" spans="13:28" s="308" customFormat="1" x14ac:dyDescent="0.2">
      <c r="M10261" s="309"/>
      <c r="AB10261" s="310"/>
    </row>
    <row r="10262" spans="13:28" s="308" customFormat="1" x14ac:dyDescent="0.2">
      <c r="M10262" s="309"/>
      <c r="AB10262" s="310"/>
    </row>
    <row r="10263" spans="13:28" s="308" customFormat="1" x14ac:dyDescent="0.2">
      <c r="M10263" s="309"/>
      <c r="AB10263" s="310"/>
    </row>
    <row r="10264" spans="13:28" s="308" customFormat="1" x14ac:dyDescent="0.2">
      <c r="M10264" s="309"/>
      <c r="AB10264" s="310"/>
    </row>
    <row r="10265" spans="13:28" s="308" customFormat="1" x14ac:dyDescent="0.2">
      <c r="M10265" s="309"/>
      <c r="AB10265" s="310"/>
    </row>
    <row r="10266" spans="13:28" s="308" customFormat="1" x14ac:dyDescent="0.2">
      <c r="M10266" s="309"/>
      <c r="AB10266" s="310"/>
    </row>
    <row r="10267" spans="13:28" s="308" customFormat="1" x14ac:dyDescent="0.2">
      <c r="M10267" s="309"/>
      <c r="AB10267" s="310"/>
    </row>
    <row r="10268" spans="13:28" s="308" customFormat="1" x14ac:dyDescent="0.2">
      <c r="M10268" s="309"/>
      <c r="AB10268" s="310"/>
    </row>
    <row r="10269" spans="13:28" s="308" customFormat="1" x14ac:dyDescent="0.2">
      <c r="M10269" s="309"/>
      <c r="AB10269" s="310"/>
    </row>
    <row r="10270" spans="13:28" s="308" customFormat="1" x14ac:dyDescent="0.2">
      <c r="M10270" s="309"/>
      <c r="AB10270" s="310"/>
    </row>
    <row r="10271" spans="13:28" s="308" customFormat="1" x14ac:dyDescent="0.2">
      <c r="M10271" s="309"/>
      <c r="AB10271" s="310"/>
    </row>
    <row r="10272" spans="13:28" s="308" customFormat="1" x14ac:dyDescent="0.2">
      <c r="M10272" s="309"/>
      <c r="AB10272" s="310"/>
    </row>
    <row r="10273" spans="13:28" s="308" customFormat="1" x14ac:dyDescent="0.2">
      <c r="M10273" s="309"/>
      <c r="AB10273" s="310"/>
    </row>
    <row r="10274" spans="13:28" s="308" customFormat="1" x14ac:dyDescent="0.2">
      <c r="M10274" s="309"/>
      <c r="AB10274" s="310"/>
    </row>
    <row r="10275" spans="13:28" s="308" customFormat="1" x14ac:dyDescent="0.2">
      <c r="M10275" s="309"/>
      <c r="AB10275" s="310"/>
    </row>
    <row r="10276" spans="13:28" s="308" customFormat="1" x14ac:dyDescent="0.2">
      <c r="M10276" s="309"/>
      <c r="AB10276" s="310"/>
    </row>
    <row r="10277" spans="13:28" s="308" customFormat="1" x14ac:dyDescent="0.2">
      <c r="M10277" s="309"/>
      <c r="AB10277" s="310"/>
    </row>
    <row r="10278" spans="13:28" s="308" customFormat="1" x14ac:dyDescent="0.2">
      <c r="M10278" s="309"/>
      <c r="AB10278" s="310"/>
    </row>
    <row r="10279" spans="13:28" s="308" customFormat="1" x14ac:dyDescent="0.2">
      <c r="M10279" s="309"/>
      <c r="AB10279" s="310"/>
    </row>
    <row r="10280" spans="13:28" s="308" customFormat="1" x14ac:dyDescent="0.2">
      <c r="M10280" s="309"/>
      <c r="AB10280" s="310"/>
    </row>
    <row r="10281" spans="13:28" s="308" customFormat="1" x14ac:dyDescent="0.2">
      <c r="M10281" s="309"/>
      <c r="AB10281" s="310"/>
    </row>
    <row r="10282" spans="13:28" s="308" customFormat="1" x14ac:dyDescent="0.2">
      <c r="M10282" s="309"/>
      <c r="AB10282" s="310"/>
    </row>
    <row r="10283" spans="13:28" s="308" customFormat="1" x14ac:dyDescent="0.2">
      <c r="M10283" s="309"/>
      <c r="AB10283" s="310"/>
    </row>
    <row r="10284" spans="13:28" s="308" customFormat="1" x14ac:dyDescent="0.2">
      <c r="M10284" s="309"/>
      <c r="AB10284" s="310"/>
    </row>
    <row r="10285" spans="13:28" s="308" customFormat="1" x14ac:dyDescent="0.2">
      <c r="M10285" s="309"/>
      <c r="AB10285" s="310"/>
    </row>
    <row r="10286" spans="13:28" s="308" customFormat="1" x14ac:dyDescent="0.2">
      <c r="M10286" s="309"/>
      <c r="AB10286" s="310"/>
    </row>
    <row r="10287" spans="13:28" s="308" customFormat="1" x14ac:dyDescent="0.2">
      <c r="M10287" s="309"/>
      <c r="AB10287" s="310"/>
    </row>
    <row r="10288" spans="13:28" s="308" customFormat="1" x14ac:dyDescent="0.2">
      <c r="M10288" s="309"/>
      <c r="AB10288" s="310"/>
    </row>
    <row r="10289" spans="13:28" s="308" customFormat="1" x14ac:dyDescent="0.2">
      <c r="M10289" s="309"/>
      <c r="AB10289" s="310"/>
    </row>
    <row r="10290" spans="13:28" s="308" customFormat="1" x14ac:dyDescent="0.2">
      <c r="M10290" s="309"/>
      <c r="AB10290" s="310"/>
    </row>
    <row r="10291" spans="13:28" s="308" customFormat="1" x14ac:dyDescent="0.2">
      <c r="M10291" s="309"/>
      <c r="AB10291" s="310"/>
    </row>
    <row r="10292" spans="13:28" s="308" customFormat="1" x14ac:dyDescent="0.2">
      <c r="M10292" s="309"/>
      <c r="AB10292" s="310"/>
    </row>
    <row r="10293" spans="13:28" s="308" customFormat="1" x14ac:dyDescent="0.2">
      <c r="M10293" s="309"/>
      <c r="AB10293" s="310"/>
    </row>
    <row r="10294" spans="13:28" s="308" customFormat="1" x14ac:dyDescent="0.2">
      <c r="M10294" s="309"/>
      <c r="AB10294" s="310"/>
    </row>
    <row r="10295" spans="13:28" s="308" customFormat="1" x14ac:dyDescent="0.2">
      <c r="M10295" s="309"/>
      <c r="AB10295" s="310"/>
    </row>
    <row r="10296" spans="13:28" s="308" customFormat="1" x14ac:dyDescent="0.2">
      <c r="M10296" s="309"/>
      <c r="AB10296" s="310"/>
    </row>
    <row r="10297" spans="13:28" s="308" customFormat="1" x14ac:dyDescent="0.2">
      <c r="M10297" s="309"/>
      <c r="AB10297" s="310"/>
    </row>
    <row r="10298" spans="13:28" s="308" customFormat="1" x14ac:dyDescent="0.2">
      <c r="M10298" s="309"/>
      <c r="AB10298" s="310"/>
    </row>
    <row r="10299" spans="13:28" s="308" customFormat="1" x14ac:dyDescent="0.2">
      <c r="M10299" s="309"/>
      <c r="AB10299" s="310"/>
    </row>
    <row r="10300" spans="13:28" s="308" customFormat="1" x14ac:dyDescent="0.2">
      <c r="M10300" s="309"/>
      <c r="AB10300" s="310"/>
    </row>
    <row r="10301" spans="13:28" s="308" customFormat="1" x14ac:dyDescent="0.2">
      <c r="M10301" s="309"/>
      <c r="AB10301" s="310"/>
    </row>
    <row r="10302" spans="13:28" s="308" customFormat="1" x14ac:dyDescent="0.2">
      <c r="M10302" s="309"/>
      <c r="AB10302" s="310"/>
    </row>
    <row r="10303" spans="13:28" s="308" customFormat="1" x14ac:dyDescent="0.2">
      <c r="M10303" s="309"/>
      <c r="AB10303" s="310"/>
    </row>
    <row r="10304" spans="13:28" s="308" customFormat="1" x14ac:dyDescent="0.2">
      <c r="M10304" s="309"/>
      <c r="AB10304" s="310"/>
    </row>
    <row r="10305" spans="13:28" s="308" customFormat="1" x14ac:dyDescent="0.2">
      <c r="M10305" s="309"/>
      <c r="AB10305" s="310"/>
    </row>
    <row r="10306" spans="13:28" s="308" customFormat="1" x14ac:dyDescent="0.2">
      <c r="M10306" s="309"/>
      <c r="AB10306" s="310"/>
    </row>
    <row r="10307" spans="13:28" s="308" customFormat="1" x14ac:dyDescent="0.2">
      <c r="M10307" s="309"/>
      <c r="AB10307" s="310"/>
    </row>
    <row r="10308" spans="13:28" s="308" customFormat="1" x14ac:dyDescent="0.2">
      <c r="M10308" s="309"/>
      <c r="AB10308" s="310"/>
    </row>
    <row r="10309" spans="13:28" s="308" customFormat="1" x14ac:dyDescent="0.2">
      <c r="M10309" s="309"/>
      <c r="AB10309" s="310"/>
    </row>
    <row r="10310" spans="13:28" s="308" customFormat="1" x14ac:dyDescent="0.2">
      <c r="M10310" s="309"/>
      <c r="AB10310" s="310"/>
    </row>
    <row r="10311" spans="13:28" s="308" customFormat="1" x14ac:dyDescent="0.2">
      <c r="M10311" s="309"/>
      <c r="AB10311" s="310"/>
    </row>
    <row r="10312" spans="13:28" s="308" customFormat="1" x14ac:dyDescent="0.2">
      <c r="M10312" s="309"/>
      <c r="AB10312" s="310"/>
    </row>
    <row r="10313" spans="13:28" s="308" customFormat="1" x14ac:dyDescent="0.2">
      <c r="M10313" s="309"/>
      <c r="AB10313" s="310"/>
    </row>
    <row r="10314" spans="13:28" s="308" customFormat="1" x14ac:dyDescent="0.2">
      <c r="M10314" s="309"/>
      <c r="AB10314" s="310"/>
    </row>
    <row r="10315" spans="13:28" s="308" customFormat="1" x14ac:dyDescent="0.2">
      <c r="M10315" s="309"/>
      <c r="AB10315" s="310"/>
    </row>
    <row r="10316" spans="13:28" s="308" customFormat="1" x14ac:dyDescent="0.2">
      <c r="M10316" s="309"/>
      <c r="AB10316" s="310"/>
    </row>
    <row r="10317" spans="13:28" s="308" customFormat="1" x14ac:dyDescent="0.2">
      <c r="M10317" s="309"/>
      <c r="AB10317" s="310"/>
    </row>
    <row r="10318" spans="13:28" s="308" customFormat="1" x14ac:dyDescent="0.2">
      <c r="M10318" s="309"/>
      <c r="AB10318" s="310"/>
    </row>
    <row r="10319" spans="13:28" s="308" customFormat="1" x14ac:dyDescent="0.2">
      <c r="M10319" s="309"/>
      <c r="AB10319" s="310"/>
    </row>
    <row r="10320" spans="13:28" s="308" customFormat="1" x14ac:dyDescent="0.2">
      <c r="M10320" s="309"/>
      <c r="AB10320" s="310"/>
    </row>
    <row r="10321" spans="13:28" s="308" customFormat="1" x14ac:dyDescent="0.2">
      <c r="M10321" s="309"/>
      <c r="AB10321" s="310"/>
    </row>
    <row r="10322" spans="13:28" s="308" customFormat="1" x14ac:dyDescent="0.2">
      <c r="M10322" s="309"/>
      <c r="AB10322" s="310"/>
    </row>
    <row r="10323" spans="13:28" s="308" customFormat="1" x14ac:dyDescent="0.2">
      <c r="M10323" s="309"/>
      <c r="AB10323" s="310"/>
    </row>
    <row r="10324" spans="13:28" s="308" customFormat="1" x14ac:dyDescent="0.2">
      <c r="M10324" s="309"/>
      <c r="AB10324" s="310"/>
    </row>
    <row r="10325" spans="13:28" s="308" customFormat="1" x14ac:dyDescent="0.2">
      <c r="M10325" s="309"/>
      <c r="AB10325" s="310"/>
    </row>
    <row r="10326" spans="13:28" s="308" customFormat="1" x14ac:dyDescent="0.2">
      <c r="M10326" s="309"/>
      <c r="AB10326" s="310"/>
    </row>
    <row r="10327" spans="13:28" s="308" customFormat="1" x14ac:dyDescent="0.2">
      <c r="M10327" s="309"/>
      <c r="AB10327" s="310"/>
    </row>
    <row r="10328" spans="13:28" s="308" customFormat="1" x14ac:dyDescent="0.2">
      <c r="M10328" s="309"/>
      <c r="AB10328" s="310"/>
    </row>
    <row r="10329" spans="13:28" s="308" customFormat="1" x14ac:dyDescent="0.2">
      <c r="M10329" s="309"/>
      <c r="AB10329" s="310"/>
    </row>
    <row r="10330" spans="13:28" s="308" customFormat="1" x14ac:dyDescent="0.2">
      <c r="M10330" s="309"/>
      <c r="AB10330" s="310"/>
    </row>
    <row r="10331" spans="13:28" s="308" customFormat="1" x14ac:dyDescent="0.2">
      <c r="M10331" s="309"/>
      <c r="AB10331" s="310"/>
    </row>
    <row r="10332" spans="13:28" s="308" customFormat="1" x14ac:dyDescent="0.2">
      <c r="M10332" s="309"/>
      <c r="AB10332" s="310"/>
    </row>
    <row r="10333" spans="13:28" s="308" customFormat="1" x14ac:dyDescent="0.2">
      <c r="M10333" s="309"/>
      <c r="AB10333" s="310"/>
    </row>
    <row r="10334" spans="13:28" s="308" customFormat="1" x14ac:dyDescent="0.2">
      <c r="M10334" s="309"/>
      <c r="AB10334" s="310"/>
    </row>
    <row r="10335" spans="13:28" s="308" customFormat="1" x14ac:dyDescent="0.2">
      <c r="M10335" s="309"/>
      <c r="AB10335" s="310"/>
    </row>
    <row r="10336" spans="13:28" s="308" customFormat="1" x14ac:dyDescent="0.2">
      <c r="M10336" s="309"/>
      <c r="AB10336" s="310"/>
    </row>
    <row r="10337" spans="13:28" s="308" customFormat="1" x14ac:dyDescent="0.2">
      <c r="M10337" s="309"/>
      <c r="AB10337" s="310"/>
    </row>
    <row r="10338" spans="13:28" s="308" customFormat="1" x14ac:dyDescent="0.2">
      <c r="M10338" s="309"/>
      <c r="AB10338" s="310"/>
    </row>
    <row r="10339" spans="13:28" s="308" customFormat="1" x14ac:dyDescent="0.2">
      <c r="M10339" s="309"/>
      <c r="AB10339" s="310"/>
    </row>
    <row r="10340" spans="13:28" s="308" customFormat="1" x14ac:dyDescent="0.2">
      <c r="M10340" s="309"/>
      <c r="AB10340" s="310"/>
    </row>
    <row r="10341" spans="13:28" s="308" customFormat="1" x14ac:dyDescent="0.2">
      <c r="M10341" s="309"/>
      <c r="AB10341" s="310"/>
    </row>
    <row r="10342" spans="13:28" s="308" customFormat="1" x14ac:dyDescent="0.2">
      <c r="M10342" s="309"/>
      <c r="AB10342" s="310"/>
    </row>
    <row r="10343" spans="13:28" s="308" customFormat="1" x14ac:dyDescent="0.2">
      <c r="M10343" s="309"/>
      <c r="AB10343" s="310"/>
    </row>
    <row r="10344" spans="13:28" s="308" customFormat="1" x14ac:dyDescent="0.2">
      <c r="M10344" s="309"/>
      <c r="AB10344" s="310"/>
    </row>
    <row r="10345" spans="13:28" s="308" customFormat="1" x14ac:dyDescent="0.2">
      <c r="M10345" s="309"/>
      <c r="AB10345" s="310"/>
    </row>
    <row r="10346" spans="13:28" s="308" customFormat="1" x14ac:dyDescent="0.2">
      <c r="M10346" s="309"/>
      <c r="AB10346" s="310"/>
    </row>
    <row r="10347" spans="13:28" s="308" customFormat="1" x14ac:dyDescent="0.2">
      <c r="M10347" s="309"/>
      <c r="AB10347" s="310"/>
    </row>
    <row r="10348" spans="13:28" s="308" customFormat="1" x14ac:dyDescent="0.2">
      <c r="M10348" s="309"/>
      <c r="AB10348" s="310"/>
    </row>
    <row r="10349" spans="13:28" s="308" customFormat="1" x14ac:dyDescent="0.2">
      <c r="M10349" s="309"/>
      <c r="AB10349" s="310"/>
    </row>
    <row r="10350" spans="13:28" s="308" customFormat="1" x14ac:dyDescent="0.2">
      <c r="M10350" s="309"/>
      <c r="AB10350" s="310"/>
    </row>
    <row r="10351" spans="13:28" s="308" customFormat="1" x14ac:dyDescent="0.2">
      <c r="M10351" s="309"/>
      <c r="AB10351" s="310"/>
    </row>
    <row r="10352" spans="13:28" s="308" customFormat="1" x14ac:dyDescent="0.2">
      <c r="M10352" s="309"/>
      <c r="AB10352" s="310"/>
    </row>
    <row r="10353" spans="13:28" s="308" customFormat="1" x14ac:dyDescent="0.2">
      <c r="M10353" s="309"/>
      <c r="AB10353" s="310"/>
    </row>
    <row r="10354" spans="13:28" s="308" customFormat="1" x14ac:dyDescent="0.2">
      <c r="M10354" s="309"/>
      <c r="AB10354" s="310"/>
    </row>
    <row r="10355" spans="13:28" s="308" customFormat="1" x14ac:dyDescent="0.2">
      <c r="M10355" s="309"/>
      <c r="AB10355" s="310"/>
    </row>
    <row r="10356" spans="13:28" s="308" customFormat="1" x14ac:dyDescent="0.2">
      <c r="M10356" s="309"/>
      <c r="AB10356" s="310"/>
    </row>
    <row r="10357" spans="13:28" s="308" customFormat="1" x14ac:dyDescent="0.2">
      <c r="M10357" s="309"/>
      <c r="AB10357" s="310"/>
    </row>
    <row r="10358" spans="13:28" s="308" customFormat="1" x14ac:dyDescent="0.2">
      <c r="M10358" s="309"/>
      <c r="AB10358" s="310"/>
    </row>
    <row r="10359" spans="13:28" s="308" customFormat="1" x14ac:dyDescent="0.2">
      <c r="M10359" s="309"/>
      <c r="AB10359" s="310"/>
    </row>
    <row r="10360" spans="13:28" s="308" customFormat="1" x14ac:dyDescent="0.2">
      <c r="M10360" s="309"/>
      <c r="AB10360" s="310"/>
    </row>
    <row r="10361" spans="13:28" s="308" customFormat="1" x14ac:dyDescent="0.2">
      <c r="M10361" s="309"/>
      <c r="AB10361" s="310"/>
    </row>
    <row r="10362" spans="13:28" s="308" customFormat="1" x14ac:dyDescent="0.2">
      <c r="M10362" s="309"/>
      <c r="AB10362" s="310"/>
    </row>
    <row r="10363" spans="13:28" s="308" customFormat="1" x14ac:dyDescent="0.2">
      <c r="M10363" s="309"/>
      <c r="AB10363" s="310"/>
    </row>
    <row r="10364" spans="13:28" s="308" customFormat="1" x14ac:dyDescent="0.2">
      <c r="M10364" s="309"/>
      <c r="AB10364" s="310"/>
    </row>
    <row r="10365" spans="13:28" s="308" customFormat="1" x14ac:dyDescent="0.2">
      <c r="M10365" s="309"/>
      <c r="AB10365" s="310"/>
    </row>
    <row r="10366" spans="13:28" s="308" customFormat="1" x14ac:dyDescent="0.2">
      <c r="M10366" s="309"/>
      <c r="AB10366" s="310"/>
    </row>
    <row r="10367" spans="13:28" s="308" customFormat="1" x14ac:dyDescent="0.2">
      <c r="M10367" s="309"/>
      <c r="AB10367" s="310"/>
    </row>
    <row r="10368" spans="13:28" s="308" customFormat="1" x14ac:dyDescent="0.2">
      <c r="M10368" s="309"/>
      <c r="AB10368" s="310"/>
    </row>
    <row r="10369" spans="13:28" s="308" customFormat="1" x14ac:dyDescent="0.2">
      <c r="M10369" s="309"/>
      <c r="AB10369" s="310"/>
    </row>
    <row r="10370" spans="13:28" s="308" customFormat="1" x14ac:dyDescent="0.2">
      <c r="M10370" s="309"/>
      <c r="AB10370" s="310"/>
    </row>
    <row r="10371" spans="13:28" s="308" customFormat="1" x14ac:dyDescent="0.2">
      <c r="M10371" s="309"/>
      <c r="AB10371" s="310"/>
    </row>
    <row r="10372" spans="13:28" s="308" customFormat="1" x14ac:dyDescent="0.2">
      <c r="M10372" s="309"/>
      <c r="AB10372" s="310"/>
    </row>
    <row r="10373" spans="13:28" s="308" customFormat="1" x14ac:dyDescent="0.2">
      <c r="M10373" s="309"/>
      <c r="AB10373" s="310"/>
    </row>
    <row r="10374" spans="13:28" s="308" customFormat="1" x14ac:dyDescent="0.2">
      <c r="M10374" s="309"/>
      <c r="AB10374" s="310"/>
    </row>
    <row r="10375" spans="13:28" s="308" customFormat="1" x14ac:dyDescent="0.2">
      <c r="M10375" s="309"/>
      <c r="AB10375" s="310"/>
    </row>
    <row r="10376" spans="13:28" s="308" customFormat="1" x14ac:dyDescent="0.2">
      <c r="M10376" s="309"/>
      <c r="AB10376" s="310"/>
    </row>
    <row r="10377" spans="13:28" s="308" customFormat="1" x14ac:dyDescent="0.2">
      <c r="M10377" s="309"/>
      <c r="AB10377" s="310"/>
    </row>
    <row r="10378" spans="13:28" s="308" customFormat="1" x14ac:dyDescent="0.2">
      <c r="M10378" s="309"/>
      <c r="AB10378" s="310"/>
    </row>
    <row r="10379" spans="13:28" s="308" customFormat="1" x14ac:dyDescent="0.2">
      <c r="M10379" s="309"/>
      <c r="AB10379" s="310"/>
    </row>
    <row r="10380" spans="13:28" s="308" customFormat="1" x14ac:dyDescent="0.2">
      <c r="M10380" s="309"/>
      <c r="AB10380" s="310"/>
    </row>
    <row r="10381" spans="13:28" s="308" customFormat="1" x14ac:dyDescent="0.2">
      <c r="M10381" s="309"/>
      <c r="AB10381" s="310"/>
    </row>
    <row r="10382" spans="13:28" s="308" customFormat="1" x14ac:dyDescent="0.2">
      <c r="M10382" s="309"/>
      <c r="AB10382" s="310"/>
    </row>
    <row r="10383" spans="13:28" s="308" customFormat="1" x14ac:dyDescent="0.2">
      <c r="M10383" s="309"/>
      <c r="AB10383" s="310"/>
    </row>
    <row r="10384" spans="13:28" s="308" customFormat="1" x14ac:dyDescent="0.2">
      <c r="M10384" s="309"/>
      <c r="AB10384" s="310"/>
    </row>
    <row r="10385" spans="13:28" s="308" customFormat="1" x14ac:dyDescent="0.2">
      <c r="M10385" s="309"/>
      <c r="AB10385" s="310"/>
    </row>
    <row r="10386" spans="13:28" s="308" customFormat="1" x14ac:dyDescent="0.2">
      <c r="M10386" s="309"/>
      <c r="AB10386" s="310"/>
    </row>
    <row r="10387" spans="13:28" s="308" customFormat="1" x14ac:dyDescent="0.2">
      <c r="M10387" s="309"/>
      <c r="AB10387" s="310"/>
    </row>
    <row r="10388" spans="13:28" s="308" customFormat="1" x14ac:dyDescent="0.2">
      <c r="M10388" s="309"/>
      <c r="AB10388" s="310"/>
    </row>
    <row r="10389" spans="13:28" s="308" customFormat="1" x14ac:dyDescent="0.2">
      <c r="M10389" s="309"/>
      <c r="AB10389" s="310"/>
    </row>
    <row r="10390" spans="13:28" s="308" customFormat="1" x14ac:dyDescent="0.2">
      <c r="M10390" s="309"/>
      <c r="AB10390" s="310"/>
    </row>
    <row r="10391" spans="13:28" s="308" customFormat="1" x14ac:dyDescent="0.2">
      <c r="M10391" s="309"/>
      <c r="AB10391" s="310"/>
    </row>
    <row r="10392" spans="13:28" s="308" customFormat="1" x14ac:dyDescent="0.2">
      <c r="M10392" s="309"/>
      <c r="AB10392" s="310"/>
    </row>
    <row r="10393" spans="13:28" s="308" customFormat="1" x14ac:dyDescent="0.2">
      <c r="M10393" s="309"/>
      <c r="AB10393" s="310"/>
    </row>
    <row r="10394" spans="13:28" s="308" customFormat="1" x14ac:dyDescent="0.2">
      <c r="M10394" s="309"/>
      <c r="AB10394" s="310"/>
    </row>
    <row r="10395" spans="13:28" s="308" customFormat="1" x14ac:dyDescent="0.2">
      <c r="M10395" s="309"/>
      <c r="AB10395" s="310"/>
    </row>
    <row r="10396" spans="13:28" s="308" customFormat="1" x14ac:dyDescent="0.2">
      <c r="M10396" s="309"/>
      <c r="AB10396" s="310"/>
    </row>
    <row r="10397" spans="13:28" s="308" customFormat="1" x14ac:dyDescent="0.2">
      <c r="M10397" s="309"/>
      <c r="AB10397" s="310"/>
    </row>
    <row r="10398" spans="13:28" s="308" customFormat="1" x14ac:dyDescent="0.2">
      <c r="M10398" s="309"/>
      <c r="AB10398" s="310"/>
    </row>
    <row r="10399" spans="13:28" s="308" customFormat="1" x14ac:dyDescent="0.2">
      <c r="M10399" s="309"/>
      <c r="AB10399" s="310"/>
    </row>
    <row r="10400" spans="13:28" s="308" customFormat="1" x14ac:dyDescent="0.2">
      <c r="M10400" s="309"/>
      <c r="AB10400" s="310"/>
    </row>
    <row r="10401" spans="13:28" s="308" customFormat="1" x14ac:dyDescent="0.2">
      <c r="M10401" s="309"/>
      <c r="AB10401" s="310"/>
    </row>
    <row r="10402" spans="13:28" s="308" customFormat="1" x14ac:dyDescent="0.2">
      <c r="M10402" s="309"/>
      <c r="AB10402" s="310"/>
    </row>
    <row r="10403" spans="13:28" s="308" customFormat="1" x14ac:dyDescent="0.2">
      <c r="M10403" s="309"/>
      <c r="AB10403" s="310"/>
    </row>
    <row r="10404" spans="13:28" s="308" customFormat="1" x14ac:dyDescent="0.2">
      <c r="M10404" s="309"/>
      <c r="AB10404" s="310"/>
    </row>
    <row r="10405" spans="13:28" s="308" customFormat="1" x14ac:dyDescent="0.2">
      <c r="M10405" s="309"/>
      <c r="AB10405" s="310"/>
    </row>
    <row r="10406" spans="13:28" s="308" customFormat="1" x14ac:dyDescent="0.2">
      <c r="M10406" s="309"/>
      <c r="AB10406" s="310"/>
    </row>
    <row r="10407" spans="13:28" s="308" customFormat="1" x14ac:dyDescent="0.2">
      <c r="M10407" s="309"/>
      <c r="AB10407" s="310"/>
    </row>
    <row r="10408" spans="13:28" s="308" customFormat="1" x14ac:dyDescent="0.2">
      <c r="M10408" s="309"/>
      <c r="AB10408" s="310"/>
    </row>
    <row r="10409" spans="13:28" s="308" customFormat="1" x14ac:dyDescent="0.2">
      <c r="M10409" s="309"/>
      <c r="AB10409" s="310"/>
    </row>
    <row r="10410" spans="13:28" s="308" customFormat="1" x14ac:dyDescent="0.2">
      <c r="M10410" s="309"/>
      <c r="AB10410" s="310"/>
    </row>
    <row r="10411" spans="13:28" s="308" customFormat="1" x14ac:dyDescent="0.2">
      <c r="M10411" s="309"/>
      <c r="AB10411" s="310"/>
    </row>
    <row r="10412" spans="13:28" s="308" customFormat="1" x14ac:dyDescent="0.2">
      <c r="M10412" s="309"/>
      <c r="AB10412" s="310"/>
    </row>
    <row r="10413" spans="13:28" s="308" customFormat="1" x14ac:dyDescent="0.2">
      <c r="M10413" s="309"/>
      <c r="AB10413" s="310"/>
    </row>
    <row r="10414" spans="13:28" s="308" customFormat="1" x14ac:dyDescent="0.2">
      <c r="M10414" s="309"/>
      <c r="AB10414" s="310"/>
    </row>
    <row r="10415" spans="13:28" s="308" customFormat="1" x14ac:dyDescent="0.2">
      <c r="M10415" s="309"/>
      <c r="AB10415" s="310"/>
    </row>
    <row r="10416" spans="13:28" s="308" customFormat="1" x14ac:dyDescent="0.2">
      <c r="M10416" s="309"/>
      <c r="AB10416" s="310"/>
    </row>
    <row r="10417" spans="13:28" s="308" customFormat="1" x14ac:dyDescent="0.2">
      <c r="M10417" s="309"/>
      <c r="AB10417" s="310"/>
    </row>
    <row r="10418" spans="13:28" s="308" customFormat="1" x14ac:dyDescent="0.2">
      <c r="M10418" s="309"/>
      <c r="AB10418" s="310"/>
    </row>
    <row r="10419" spans="13:28" s="308" customFormat="1" x14ac:dyDescent="0.2">
      <c r="M10419" s="309"/>
      <c r="AB10419" s="310"/>
    </row>
    <row r="10420" spans="13:28" s="308" customFormat="1" x14ac:dyDescent="0.2">
      <c r="M10420" s="309"/>
      <c r="AB10420" s="310"/>
    </row>
    <row r="10421" spans="13:28" s="308" customFormat="1" x14ac:dyDescent="0.2">
      <c r="M10421" s="309"/>
      <c r="AB10421" s="310"/>
    </row>
    <row r="10422" spans="13:28" s="308" customFormat="1" x14ac:dyDescent="0.2">
      <c r="M10422" s="309"/>
      <c r="AB10422" s="310"/>
    </row>
    <row r="10423" spans="13:28" s="308" customFormat="1" x14ac:dyDescent="0.2">
      <c r="M10423" s="309"/>
      <c r="AB10423" s="310"/>
    </row>
    <row r="10424" spans="13:28" s="308" customFormat="1" x14ac:dyDescent="0.2">
      <c r="M10424" s="309"/>
      <c r="AB10424" s="310"/>
    </row>
    <row r="10425" spans="13:28" s="308" customFormat="1" x14ac:dyDescent="0.2">
      <c r="M10425" s="309"/>
      <c r="AB10425" s="310"/>
    </row>
    <row r="10426" spans="13:28" s="308" customFormat="1" x14ac:dyDescent="0.2">
      <c r="M10426" s="309"/>
      <c r="AB10426" s="310"/>
    </row>
    <row r="10427" spans="13:28" s="308" customFormat="1" x14ac:dyDescent="0.2">
      <c r="M10427" s="309"/>
      <c r="AB10427" s="310"/>
    </row>
    <row r="10428" spans="13:28" s="308" customFormat="1" x14ac:dyDescent="0.2">
      <c r="M10428" s="309"/>
      <c r="AB10428" s="310"/>
    </row>
    <row r="10429" spans="13:28" s="308" customFormat="1" x14ac:dyDescent="0.2">
      <c r="M10429" s="309"/>
      <c r="AB10429" s="310"/>
    </row>
    <row r="10430" spans="13:28" s="308" customFormat="1" x14ac:dyDescent="0.2">
      <c r="M10430" s="309"/>
      <c r="AB10430" s="310"/>
    </row>
    <row r="10431" spans="13:28" s="308" customFormat="1" x14ac:dyDescent="0.2">
      <c r="M10431" s="309"/>
      <c r="AB10431" s="310"/>
    </row>
    <row r="10432" spans="13:28" s="308" customFormat="1" x14ac:dyDescent="0.2">
      <c r="M10432" s="309"/>
      <c r="AB10432" s="310"/>
    </row>
    <row r="10433" spans="13:28" s="308" customFormat="1" x14ac:dyDescent="0.2">
      <c r="M10433" s="309"/>
      <c r="AB10433" s="310"/>
    </row>
    <row r="10434" spans="13:28" s="308" customFormat="1" x14ac:dyDescent="0.2">
      <c r="M10434" s="309"/>
      <c r="AB10434" s="310"/>
    </row>
    <row r="10435" spans="13:28" s="308" customFormat="1" x14ac:dyDescent="0.2">
      <c r="M10435" s="309"/>
      <c r="AB10435" s="310"/>
    </row>
    <row r="10436" spans="13:28" s="308" customFormat="1" x14ac:dyDescent="0.2">
      <c r="M10436" s="309"/>
      <c r="AB10436" s="310"/>
    </row>
    <row r="10437" spans="13:28" s="308" customFormat="1" x14ac:dyDescent="0.2">
      <c r="M10437" s="309"/>
      <c r="AB10437" s="310"/>
    </row>
    <row r="10438" spans="13:28" s="308" customFormat="1" x14ac:dyDescent="0.2">
      <c r="M10438" s="309"/>
      <c r="AB10438" s="310"/>
    </row>
    <row r="10439" spans="13:28" s="308" customFormat="1" x14ac:dyDescent="0.2">
      <c r="M10439" s="309"/>
      <c r="AB10439" s="310"/>
    </row>
    <row r="10440" spans="13:28" s="308" customFormat="1" x14ac:dyDescent="0.2">
      <c r="M10440" s="309"/>
      <c r="AB10440" s="310"/>
    </row>
    <row r="10441" spans="13:28" s="308" customFormat="1" x14ac:dyDescent="0.2">
      <c r="M10441" s="309"/>
      <c r="AB10441" s="310"/>
    </row>
    <row r="10442" spans="13:28" s="308" customFormat="1" x14ac:dyDescent="0.2">
      <c r="M10442" s="309"/>
      <c r="AB10442" s="310"/>
    </row>
    <row r="10443" spans="13:28" s="308" customFormat="1" x14ac:dyDescent="0.2">
      <c r="M10443" s="309"/>
      <c r="AB10443" s="310"/>
    </row>
    <row r="10444" spans="13:28" s="308" customFormat="1" x14ac:dyDescent="0.2">
      <c r="M10444" s="309"/>
      <c r="AB10444" s="310"/>
    </row>
    <row r="10445" spans="13:28" s="308" customFormat="1" x14ac:dyDescent="0.2">
      <c r="M10445" s="309"/>
      <c r="AB10445" s="310"/>
    </row>
    <row r="10446" spans="13:28" s="308" customFormat="1" x14ac:dyDescent="0.2">
      <c r="M10446" s="309"/>
      <c r="AB10446" s="310"/>
    </row>
    <row r="10447" spans="13:28" s="308" customFormat="1" x14ac:dyDescent="0.2">
      <c r="M10447" s="309"/>
      <c r="AB10447" s="310"/>
    </row>
    <row r="10448" spans="13:28" s="308" customFormat="1" x14ac:dyDescent="0.2">
      <c r="M10448" s="309"/>
      <c r="AB10448" s="310"/>
    </row>
    <row r="10449" spans="13:28" s="308" customFormat="1" x14ac:dyDescent="0.2">
      <c r="M10449" s="309"/>
      <c r="AB10449" s="310"/>
    </row>
    <row r="10450" spans="13:28" s="308" customFormat="1" x14ac:dyDescent="0.2">
      <c r="M10450" s="309"/>
      <c r="AB10450" s="310"/>
    </row>
    <row r="10451" spans="13:28" s="308" customFormat="1" x14ac:dyDescent="0.2">
      <c r="M10451" s="309"/>
      <c r="AB10451" s="310"/>
    </row>
    <row r="10452" spans="13:28" s="308" customFormat="1" x14ac:dyDescent="0.2">
      <c r="M10452" s="309"/>
      <c r="AB10452" s="310"/>
    </row>
    <row r="10453" spans="13:28" s="308" customFormat="1" x14ac:dyDescent="0.2">
      <c r="M10453" s="309"/>
      <c r="AB10453" s="310"/>
    </row>
    <row r="10454" spans="13:28" s="308" customFormat="1" x14ac:dyDescent="0.2">
      <c r="M10454" s="309"/>
      <c r="AB10454" s="310"/>
    </row>
    <row r="10455" spans="13:28" s="308" customFormat="1" x14ac:dyDescent="0.2">
      <c r="M10455" s="309"/>
      <c r="AB10455" s="310"/>
    </row>
    <row r="10456" spans="13:28" s="308" customFormat="1" x14ac:dyDescent="0.2">
      <c r="M10456" s="309"/>
      <c r="AB10456" s="310"/>
    </row>
    <row r="10457" spans="13:28" s="308" customFormat="1" x14ac:dyDescent="0.2">
      <c r="M10457" s="309"/>
      <c r="AB10457" s="310"/>
    </row>
    <row r="10458" spans="13:28" s="308" customFormat="1" x14ac:dyDescent="0.2">
      <c r="M10458" s="309"/>
      <c r="AB10458" s="310"/>
    </row>
    <row r="10459" spans="13:28" s="308" customFormat="1" x14ac:dyDescent="0.2">
      <c r="M10459" s="309"/>
      <c r="AB10459" s="310"/>
    </row>
    <row r="10460" spans="13:28" s="308" customFormat="1" x14ac:dyDescent="0.2">
      <c r="M10460" s="309"/>
      <c r="AB10460" s="310"/>
    </row>
    <row r="10461" spans="13:28" s="308" customFormat="1" x14ac:dyDescent="0.2">
      <c r="M10461" s="309"/>
      <c r="AB10461" s="310"/>
    </row>
    <row r="10462" spans="13:28" s="308" customFormat="1" x14ac:dyDescent="0.2">
      <c r="M10462" s="309"/>
      <c r="AB10462" s="310"/>
    </row>
    <row r="10463" spans="13:28" s="308" customFormat="1" x14ac:dyDescent="0.2">
      <c r="M10463" s="309"/>
      <c r="AB10463" s="310"/>
    </row>
    <row r="10464" spans="13:28" s="308" customFormat="1" x14ac:dyDescent="0.2">
      <c r="M10464" s="309"/>
      <c r="AB10464" s="310"/>
    </row>
    <row r="10465" spans="13:28" s="308" customFormat="1" x14ac:dyDescent="0.2">
      <c r="M10465" s="309"/>
      <c r="AB10465" s="310"/>
    </row>
    <row r="10466" spans="13:28" s="308" customFormat="1" x14ac:dyDescent="0.2">
      <c r="M10466" s="309"/>
      <c r="AB10466" s="310"/>
    </row>
    <row r="10467" spans="13:28" s="308" customFormat="1" x14ac:dyDescent="0.2">
      <c r="M10467" s="309"/>
      <c r="AB10467" s="310"/>
    </row>
    <row r="10468" spans="13:28" s="308" customFormat="1" x14ac:dyDescent="0.2">
      <c r="M10468" s="309"/>
      <c r="AB10468" s="310"/>
    </row>
    <row r="10469" spans="13:28" s="308" customFormat="1" x14ac:dyDescent="0.2">
      <c r="M10469" s="309"/>
      <c r="AB10469" s="310"/>
    </row>
    <row r="10470" spans="13:28" s="308" customFormat="1" x14ac:dyDescent="0.2">
      <c r="M10470" s="309"/>
      <c r="AB10470" s="310"/>
    </row>
    <row r="10471" spans="13:28" s="308" customFormat="1" x14ac:dyDescent="0.2">
      <c r="M10471" s="309"/>
      <c r="AB10471" s="310"/>
    </row>
    <row r="10472" spans="13:28" s="308" customFormat="1" x14ac:dyDescent="0.2">
      <c r="M10472" s="309"/>
      <c r="AB10472" s="310"/>
    </row>
    <row r="10473" spans="13:28" s="308" customFormat="1" x14ac:dyDescent="0.2">
      <c r="M10473" s="309"/>
      <c r="AB10473" s="310"/>
    </row>
    <row r="10474" spans="13:28" s="308" customFormat="1" x14ac:dyDescent="0.2">
      <c r="M10474" s="309"/>
      <c r="AB10474" s="310"/>
    </row>
    <row r="10475" spans="13:28" s="308" customFormat="1" x14ac:dyDescent="0.2">
      <c r="M10475" s="309"/>
      <c r="AB10475" s="310"/>
    </row>
    <row r="10476" spans="13:28" s="308" customFormat="1" x14ac:dyDescent="0.2">
      <c r="M10476" s="309"/>
      <c r="AB10476" s="310"/>
    </row>
    <row r="10477" spans="13:28" s="308" customFormat="1" x14ac:dyDescent="0.2">
      <c r="M10477" s="309"/>
      <c r="AB10477" s="310"/>
    </row>
    <row r="10478" spans="13:28" s="308" customFormat="1" x14ac:dyDescent="0.2">
      <c r="M10478" s="309"/>
      <c r="AB10478" s="310"/>
    </row>
    <row r="10479" spans="13:28" s="308" customFormat="1" x14ac:dyDescent="0.2">
      <c r="M10479" s="309"/>
      <c r="AB10479" s="310"/>
    </row>
    <row r="10480" spans="13:28" s="308" customFormat="1" x14ac:dyDescent="0.2">
      <c r="M10480" s="309"/>
      <c r="AB10480" s="310"/>
    </row>
    <row r="10481" spans="13:28" s="308" customFormat="1" x14ac:dyDescent="0.2">
      <c r="M10481" s="309"/>
      <c r="AB10481" s="310"/>
    </row>
    <row r="10482" spans="13:28" s="308" customFormat="1" x14ac:dyDescent="0.2">
      <c r="M10482" s="309"/>
      <c r="AB10482" s="310"/>
    </row>
    <row r="10483" spans="13:28" s="308" customFormat="1" x14ac:dyDescent="0.2">
      <c r="M10483" s="309"/>
      <c r="AB10483" s="310"/>
    </row>
    <row r="10484" spans="13:28" s="308" customFormat="1" x14ac:dyDescent="0.2">
      <c r="M10484" s="309"/>
      <c r="AB10484" s="310"/>
    </row>
    <row r="10485" spans="13:28" s="308" customFormat="1" x14ac:dyDescent="0.2">
      <c r="M10485" s="309"/>
      <c r="AB10485" s="310"/>
    </row>
    <row r="10486" spans="13:28" s="308" customFormat="1" x14ac:dyDescent="0.2">
      <c r="M10486" s="309"/>
      <c r="AB10486" s="310"/>
    </row>
    <row r="10487" spans="13:28" s="308" customFormat="1" x14ac:dyDescent="0.2">
      <c r="M10487" s="309"/>
      <c r="AB10487" s="310"/>
    </row>
    <row r="10488" spans="13:28" s="308" customFormat="1" x14ac:dyDescent="0.2">
      <c r="M10488" s="309"/>
      <c r="AB10488" s="310"/>
    </row>
    <row r="10489" spans="13:28" s="308" customFormat="1" x14ac:dyDescent="0.2">
      <c r="M10489" s="309"/>
      <c r="AB10489" s="310"/>
    </row>
    <row r="10490" spans="13:28" s="308" customFormat="1" x14ac:dyDescent="0.2">
      <c r="M10490" s="309"/>
      <c r="AB10490" s="310"/>
    </row>
    <row r="10491" spans="13:28" s="308" customFormat="1" x14ac:dyDescent="0.2">
      <c r="M10491" s="309"/>
      <c r="AB10491" s="310"/>
    </row>
    <row r="10492" spans="13:28" s="308" customFormat="1" x14ac:dyDescent="0.2">
      <c r="M10492" s="309"/>
      <c r="AB10492" s="310"/>
    </row>
    <row r="10493" spans="13:28" s="308" customFormat="1" x14ac:dyDescent="0.2">
      <c r="M10493" s="309"/>
      <c r="AB10493" s="310"/>
    </row>
    <row r="10494" spans="13:28" s="308" customFormat="1" x14ac:dyDescent="0.2">
      <c r="M10494" s="309"/>
      <c r="AB10494" s="310"/>
    </row>
    <row r="10495" spans="13:28" s="308" customFormat="1" x14ac:dyDescent="0.2">
      <c r="M10495" s="309"/>
      <c r="AB10495" s="310"/>
    </row>
    <row r="10496" spans="13:28" s="308" customFormat="1" x14ac:dyDescent="0.2">
      <c r="M10496" s="309"/>
      <c r="AB10496" s="310"/>
    </row>
    <row r="10497" spans="13:28" s="308" customFormat="1" x14ac:dyDescent="0.2">
      <c r="M10497" s="309"/>
      <c r="AB10497" s="310"/>
    </row>
    <row r="10498" spans="13:28" s="308" customFormat="1" x14ac:dyDescent="0.2">
      <c r="M10498" s="309"/>
      <c r="AB10498" s="310"/>
    </row>
    <row r="10499" spans="13:28" s="308" customFormat="1" x14ac:dyDescent="0.2">
      <c r="M10499" s="309"/>
      <c r="AB10499" s="310"/>
    </row>
    <row r="10500" spans="13:28" s="308" customFormat="1" x14ac:dyDescent="0.2">
      <c r="M10500" s="309"/>
      <c r="AB10500" s="310"/>
    </row>
    <row r="10501" spans="13:28" s="308" customFormat="1" x14ac:dyDescent="0.2">
      <c r="M10501" s="309"/>
      <c r="AB10501" s="310"/>
    </row>
    <row r="10502" spans="13:28" s="308" customFormat="1" x14ac:dyDescent="0.2">
      <c r="M10502" s="309"/>
      <c r="AB10502" s="310"/>
    </row>
    <row r="10503" spans="13:28" s="308" customFormat="1" x14ac:dyDescent="0.2">
      <c r="M10503" s="309"/>
      <c r="AB10503" s="310"/>
    </row>
    <row r="10504" spans="13:28" s="308" customFormat="1" x14ac:dyDescent="0.2">
      <c r="M10504" s="309"/>
      <c r="AB10504" s="310"/>
    </row>
    <row r="10505" spans="13:28" s="308" customFormat="1" x14ac:dyDescent="0.2">
      <c r="M10505" s="309"/>
      <c r="AB10505" s="310"/>
    </row>
    <row r="10506" spans="13:28" s="308" customFormat="1" x14ac:dyDescent="0.2">
      <c r="M10506" s="309"/>
      <c r="AB10506" s="310"/>
    </row>
    <row r="10507" spans="13:28" s="308" customFormat="1" x14ac:dyDescent="0.2">
      <c r="M10507" s="309"/>
      <c r="AB10507" s="310"/>
    </row>
    <row r="10508" spans="13:28" s="308" customFormat="1" x14ac:dyDescent="0.2">
      <c r="M10508" s="309"/>
      <c r="AB10508" s="310"/>
    </row>
    <row r="10509" spans="13:28" s="308" customFormat="1" x14ac:dyDescent="0.2">
      <c r="M10509" s="309"/>
      <c r="AB10509" s="310"/>
    </row>
    <row r="10510" spans="13:28" s="308" customFormat="1" x14ac:dyDescent="0.2">
      <c r="M10510" s="309"/>
      <c r="AB10510" s="310"/>
    </row>
    <row r="10511" spans="13:28" s="308" customFormat="1" x14ac:dyDescent="0.2">
      <c r="M10511" s="309"/>
      <c r="AB10511" s="310"/>
    </row>
    <row r="10512" spans="13:28" s="308" customFormat="1" x14ac:dyDescent="0.2">
      <c r="M10512" s="309"/>
      <c r="AB10512" s="310"/>
    </row>
    <row r="10513" spans="13:28" s="308" customFormat="1" x14ac:dyDescent="0.2">
      <c r="M10513" s="309"/>
      <c r="AB10513" s="310"/>
    </row>
    <row r="10514" spans="13:28" s="308" customFormat="1" x14ac:dyDescent="0.2">
      <c r="M10514" s="309"/>
      <c r="AB10514" s="310"/>
    </row>
    <row r="10515" spans="13:28" s="308" customFormat="1" x14ac:dyDescent="0.2">
      <c r="M10515" s="309"/>
      <c r="AB10515" s="310"/>
    </row>
    <row r="10516" spans="13:28" s="308" customFormat="1" x14ac:dyDescent="0.2">
      <c r="M10516" s="309"/>
      <c r="AB10516" s="310"/>
    </row>
    <row r="10517" spans="13:28" s="308" customFormat="1" x14ac:dyDescent="0.2">
      <c r="M10517" s="309"/>
      <c r="AB10517" s="310"/>
    </row>
    <row r="10518" spans="13:28" s="308" customFormat="1" x14ac:dyDescent="0.2">
      <c r="M10518" s="309"/>
      <c r="AB10518" s="310"/>
    </row>
    <row r="10519" spans="13:28" s="308" customFormat="1" x14ac:dyDescent="0.2">
      <c r="M10519" s="309"/>
      <c r="AB10519" s="310"/>
    </row>
    <row r="10520" spans="13:28" s="308" customFormat="1" x14ac:dyDescent="0.2">
      <c r="M10520" s="309"/>
      <c r="AB10520" s="310"/>
    </row>
    <row r="10521" spans="13:28" s="308" customFormat="1" x14ac:dyDescent="0.2">
      <c r="M10521" s="309"/>
      <c r="AB10521" s="310"/>
    </row>
    <row r="10522" spans="13:28" s="308" customFormat="1" x14ac:dyDescent="0.2">
      <c r="M10522" s="309"/>
      <c r="AB10522" s="310"/>
    </row>
    <row r="10523" spans="13:28" s="308" customFormat="1" x14ac:dyDescent="0.2">
      <c r="M10523" s="309"/>
      <c r="AB10523" s="310"/>
    </row>
    <row r="10524" spans="13:28" s="308" customFormat="1" x14ac:dyDescent="0.2">
      <c r="M10524" s="309"/>
      <c r="AB10524" s="310"/>
    </row>
    <row r="10525" spans="13:28" s="308" customFormat="1" x14ac:dyDescent="0.2">
      <c r="M10525" s="309"/>
      <c r="AB10525" s="310"/>
    </row>
    <row r="10526" spans="13:28" s="308" customFormat="1" x14ac:dyDescent="0.2">
      <c r="M10526" s="309"/>
      <c r="AB10526" s="310"/>
    </row>
    <row r="10527" spans="13:28" s="308" customFormat="1" x14ac:dyDescent="0.2">
      <c r="M10527" s="309"/>
      <c r="AB10527" s="310"/>
    </row>
    <row r="10528" spans="13:28" s="308" customFormat="1" x14ac:dyDescent="0.2">
      <c r="M10528" s="309"/>
      <c r="AB10528" s="310"/>
    </row>
    <row r="10529" spans="13:28" s="308" customFormat="1" x14ac:dyDescent="0.2">
      <c r="M10529" s="309"/>
      <c r="AB10529" s="310"/>
    </row>
    <row r="10530" spans="13:28" s="308" customFormat="1" x14ac:dyDescent="0.2">
      <c r="M10530" s="309"/>
      <c r="AB10530" s="310"/>
    </row>
    <row r="10531" spans="13:28" s="308" customFormat="1" x14ac:dyDescent="0.2">
      <c r="M10531" s="309"/>
      <c r="AB10531" s="310"/>
    </row>
    <row r="10532" spans="13:28" s="308" customFormat="1" x14ac:dyDescent="0.2">
      <c r="M10532" s="309"/>
      <c r="AB10532" s="310"/>
    </row>
    <row r="10533" spans="13:28" s="308" customFormat="1" x14ac:dyDescent="0.2">
      <c r="M10533" s="309"/>
      <c r="AB10533" s="310"/>
    </row>
    <row r="10534" spans="13:28" s="308" customFormat="1" x14ac:dyDescent="0.2">
      <c r="M10534" s="309"/>
      <c r="AB10534" s="310"/>
    </row>
    <row r="10535" spans="13:28" s="308" customFormat="1" x14ac:dyDescent="0.2">
      <c r="M10535" s="309"/>
      <c r="AB10535" s="310"/>
    </row>
    <row r="10536" spans="13:28" s="308" customFormat="1" x14ac:dyDescent="0.2">
      <c r="M10536" s="309"/>
      <c r="AB10536" s="310"/>
    </row>
    <row r="10537" spans="13:28" s="308" customFormat="1" x14ac:dyDescent="0.2">
      <c r="M10537" s="309"/>
      <c r="AB10537" s="310"/>
    </row>
    <row r="10538" spans="13:28" s="308" customFormat="1" x14ac:dyDescent="0.2">
      <c r="M10538" s="309"/>
      <c r="AB10538" s="310"/>
    </row>
    <row r="10539" spans="13:28" s="308" customFormat="1" x14ac:dyDescent="0.2">
      <c r="M10539" s="309"/>
      <c r="AB10539" s="310"/>
    </row>
    <row r="10540" spans="13:28" s="308" customFormat="1" x14ac:dyDescent="0.2">
      <c r="M10540" s="309"/>
      <c r="AB10540" s="310"/>
    </row>
    <row r="10541" spans="13:28" s="308" customFormat="1" x14ac:dyDescent="0.2">
      <c r="M10541" s="309"/>
      <c r="AB10541" s="310"/>
    </row>
    <row r="10542" spans="13:28" s="308" customFormat="1" x14ac:dyDescent="0.2">
      <c r="M10542" s="309"/>
      <c r="AB10542" s="310"/>
    </row>
    <row r="10543" spans="13:28" s="308" customFormat="1" x14ac:dyDescent="0.2">
      <c r="M10543" s="309"/>
      <c r="AB10543" s="310"/>
    </row>
    <row r="10544" spans="13:28" s="308" customFormat="1" x14ac:dyDescent="0.2">
      <c r="M10544" s="309"/>
      <c r="AB10544" s="310"/>
    </row>
    <row r="10545" spans="13:28" s="308" customFormat="1" x14ac:dyDescent="0.2">
      <c r="M10545" s="309"/>
      <c r="AB10545" s="310"/>
    </row>
    <row r="10546" spans="13:28" s="308" customFormat="1" x14ac:dyDescent="0.2">
      <c r="M10546" s="309"/>
      <c r="AB10546" s="310"/>
    </row>
    <row r="10547" spans="13:28" s="308" customFormat="1" x14ac:dyDescent="0.2">
      <c r="M10547" s="309"/>
      <c r="AB10547" s="310"/>
    </row>
    <row r="10548" spans="13:28" s="308" customFormat="1" x14ac:dyDescent="0.2">
      <c r="M10548" s="309"/>
      <c r="AB10548" s="310"/>
    </row>
    <row r="10549" spans="13:28" s="308" customFormat="1" x14ac:dyDescent="0.2">
      <c r="M10549" s="309"/>
      <c r="AB10549" s="310"/>
    </row>
    <row r="10550" spans="13:28" s="308" customFormat="1" x14ac:dyDescent="0.2">
      <c r="M10550" s="309"/>
      <c r="AB10550" s="310"/>
    </row>
    <row r="10551" spans="13:28" s="308" customFormat="1" x14ac:dyDescent="0.2">
      <c r="M10551" s="309"/>
      <c r="AB10551" s="310"/>
    </row>
    <row r="10552" spans="13:28" s="308" customFormat="1" x14ac:dyDescent="0.2">
      <c r="M10552" s="309"/>
      <c r="AB10552" s="310"/>
    </row>
    <row r="10553" spans="13:28" s="308" customFormat="1" x14ac:dyDescent="0.2">
      <c r="M10553" s="309"/>
      <c r="AB10553" s="310"/>
    </row>
    <row r="10554" spans="13:28" s="308" customFormat="1" x14ac:dyDescent="0.2">
      <c r="M10554" s="309"/>
      <c r="AB10554" s="310"/>
    </row>
    <row r="10555" spans="13:28" s="308" customFormat="1" x14ac:dyDescent="0.2">
      <c r="M10555" s="309"/>
      <c r="AB10555" s="310"/>
    </row>
    <row r="10556" spans="13:28" s="308" customFormat="1" x14ac:dyDescent="0.2">
      <c r="M10556" s="309"/>
      <c r="AB10556" s="310"/>
    </row>
    <row r="10557" spans="13:28" s="308" customFormat="1" x14ac:dyDescent="0.2">
      <c r="M10557" s="309"/>
      <c r="AB10557" s="310"/>
    </row>
    <row r="10558" spans="13:28" s="308" customFormat="1" x14ac:dyDescent="0.2">
      <c r="M10558" s="309"/>
      <c r="AB10558" s="310"/>
    </row>
    <row r="10559" spans="13:28" s="308" customFormat="1" x14ac:dyDescent="0.2">
      <c r="M10559" s="309"/>
      <c r="AB10559" s="310"/>
    </row>
    <row r="10560" spans="13:28" s="308" customFormat="1" x14ac:dyDescent="0.2">
      <c r="M10560" s="309"/>
      <c r="AB10560" s="310"/>
    </row>
    <row r="10561" spans="13:28" s="308" customFormat="1" x14ac:dyDescent="0.2">
      <c r="M10561" s="309"/>
      <c r="AB10561" s="310"/>
    </row>
    <row r="10562" spans="13:28" s="308" customFormat="1" x14ac:dyDescent="0.2">
      <c r="M10562" s="309"/>
      <c r="AB10562" s="310"/>
    </row>
    <row r="10563" spans="13:28" s="308" customFormat="1" x14ac:dyDescent="0.2">
      <c r="M10563" s="309"/>
      <c r="AB10563" s="310"/>
    </row>
    <row r="10564" spans="13:28" s="308" customFormat="1" x14ac:dyDescent="0.2">
      <c r="M10564" s="309"/>
      <c r="AB10564" s="310"/>
    </row>
    <row r="10565" spans="13:28" s="308" customFormat="1" x14ac:dyDescent="0.2">
      <c r="M10565" s="309"/>
      <c r="AB10565" s="310"/>
    </row>
    <row r="10566" spans="13:28" s="308" customFormat="1" x14ac:dyDescent="0.2">
      <c r="M10566" s="309"/>
      <c r="AB10566" s="310"/>
    </row>
    <row r="10567" spans="13:28" s="308" customFormat="1" x14ac:dyDescent="0.2">
      <c r="M10567" s="309"/>
      <c r="AB10567" s="310"/>
    </row>
    <row r="10568" spans="13:28" s="308" customFormat="1" x14ac:dyDescent="0.2">
      <c r="M10568" s="309"/>
      <c r="AB10568" s="310"/>
    </row>
    <row r="10569" spans="13:28" s="308" customFormat="1" x14ac:dyDescent="0.2">
      <c r="M10569" s="309"/>
      <c r="AB10569" s="310"/>
    </row>
    <row r="10570" spans="13:28" s="308" customFormat="1" x14ac:dyDescent="0.2">
      <c r="M10570" s="309"/>
      <c r="AB10570" s="310"/>
    </row>
    <row r="10571" spans="13:28" s="308" customFormat="1" x14ac:dyDescent="0.2">
      <c r="M10571" s="309"/>
      <c r="AB10571" s="310"/>
    </row>
    <row r="10572" spans="13:28" s="308" customFormat="1" x14ac:dyDescent="0.2">
      <c r="M10572" s="309"/>
      <c r="AB10572" s="310"/>
    </row>
    <row r="10573" spans="13:28" s="308" customFormat="1" x14ac:dyDescent="0.2">
      <c r="M10573" s="309"/>
      <c r="AB10573" s="310"/>
    </row>
    <row r="10574" spans="13:28" s="308" customFormat="1" x14ac:dyDescent="0.2">
      <c r="M10574" s="309"/>
      <c r="AB10574" s="310"/>
    </row>
    <row r="10575" spans="13:28" s="308" customFormat="1" x14ac:dyDescent="0.2">
      <c r="M10575" s="309"/>
      <c r="AB10575" s="310"/>
    </row>
    <row r="10576" spans="13:28" s="308" customFormat="1" x14ac:dyDescent="0.2">
      <c r="M10576" s="309"/>
      <c r="AB10576" s="310"/>
    </row>
    <row r="10577" spans="13:28" s="308" customFormat="1" x14ac:dyDescent="0.2">
      <c r="M10577" s="309"/>
      <c r="AB10577" s="310"/>
    </row>
    <row r="10578" spans="13:28" s="308" customFormat="1" x14ac:dyDescent="0.2">
      <c r="M10578" s="309"/>
      <c r="AB10578" s="310"/>
    </row>
    <row r="10579" spans="13:28" s="308" customFormat="1" x14ac:dyDescent="0.2">
      <c r="M10579" s="309"/>
      <c r="AB10579" s="310"/>
    </row>
    <row r="10580" spans="13:28" s="308" customFormat="1" x14ac:dyDescent="0.2">
      <c r="M10580" s="309"/>
      <c r="AB10580" s="310"/>
    </row>
    <row r="10581" spans="13:28" s="308" customFormat="1" x14ac:dyDescent="0.2">
      <c r="M10581" s="309"/>
      <c r="AB10581" s="310"/>
    </row>
    <row r="10582" spans="13:28" s="308" customFormat="1" x14ac:dyDescent="0.2">
      <c r="M10582" s="309"/>
      <c r="AB10582" s="310"/>
    </row>
    <row r="10583" spans="13:28" s="308" customFormat="1" x14ac:dyDescent="0.2">
      <c r="M10583" s="309"/>
      <c r="AB10583" s="310"/>
    </row>
    <row r="10584" spans="13:28" s="308" customFormat="1" x14ac:dyDescent="0.2">
      <c r="M10584" s="309"/>
      <c r="AB10584" s="310"/>
    </row>
    <row r="10585" spans="13:28" s="308" customFormat="1" x14ac:dyDescent="0.2">
      <c r="M10585" s="309"/>
      <c r="AB10585" s="310"/>
    </row>
    <row r="10586" spans="13:28" s="308" customFormat="1" x14ac:dyDescent="0.2">
      <c r="M10586" s="309"/>
      <c r="AB10586" s="310"/>
    </row>
    <row r="10587" spans="13:28" s="308" customFormat="1" x14ac:dyDescent="0.2">
      <c r="M10587" s="309"/>
      <c r="AB10587" s="310"/>
    </row>
    <row r="10588" spans="13:28" s="308" customFormat="1" x14ac:dyDescent="0.2">
      <c r="M10588" s="309"/>
      <c r="AB10588" s="310"/>
    </row>
    <row r="10589" spans="13:28" s="308" customFormat="1" x14ac:dyDescent="0.2">
      <c r="M10589" s="309"/>
      <c r="AB10589" s="310"/>
    </row>
    <row r="10590" spans="13:28" s="308" customFormat="1" x14ac:dyDescent="0.2">
      <c r="M10590" s="309"/>
      <c r="AB10590" s="310"/>
    </row>
    <row r="10591" spans="13:28" s="308" customFormat="1" x14ac:dyDescent="0.2">
      <c r="M10591" s="309"/>
      <c r="AB10591" s="310"/>
    </row>
    <row r="10592" spans="13:28" s="308" customFormat="1" x14ac:dyDescent="0.2">
      <c r="M10592" s="309"/>
      <c r="AB10592" s="310"/>
    </row>
    <row r="10593" spans="13:28" s="308" customFormat="1" x14ac:dyDescent="0.2">
      <c r="M10593" s="309"/>
      <c r="AB10593" s="310"/>
    </row>
    <row r="10594" spans="13:28" s="308" customFormat="1" x14ac:dyDescent="0.2">
      <c r="M10594" s="309"/>
      <c r="AB10594" s="310"/>
    </row>
    <row r="10595" spans="13:28" s="308" customFormat="1" x14ac:dyDescent="0.2">
      <c r="M10595" s="309"/>
      <c r="AB10595" s="310"/>
    </row>
    <row r="10596" spans="13:28" s="308" customFormat="1" x14ac:dyDescent="0.2">
      <c r="M10596" s="309"/>
      <c r="AB10596" s="310"/>
    </row>
    <row r="10597" spans="13:28" s="308" customFormat="1" x14ac:dyDescent="0.2">
      <c r="M10597" s="309"/>
      <c r="AB10597" s="310"/>
    </row>
    <row r="10598" spans="13:28" s="308" customFormat="1" x14ac:dyDescent="0.2">
      <c r="M10598" s="309"/>
      <c r="AB10598" s="310"/>
    </row>
    <row r="10599" spans="13:28" s="308" customFormat="1" x14ac:dyDescent="0.2">
      <c r="M10599" s="309"/>
      <c r="AB10599" s="310"/>
    </row>
    <row r="10600" spans="13:28" s="308" customFormat="1" x14ac:dyDescent="0.2">
      <c r="M10600" s="309"/>
      <c r="AB10600" s="310"/>
    </row>
    <row r="10601" spans="13:28" s="308" customFormat="1" x14ac:dyDescent="0.2">
      <c r="M10601" s="309"/>
      <c r="AB10601" s="310"/>
    </row>
    <row r="10602" spans="13:28" s="308" customFormat="1" x14ac:dyDescent="0.2">
      <c r="M10602" s="309"/>
      <c r="AB10602" s="310"/>
    </row>
    <row r="10603" spans="13:28" s="308" customFormat="1" x14ac:dyDescent="0.2">
      <c r="M10603" s="309"/>
      <c r="AB10603" s="310"/>
    </row>
    <row r="10604" spans="13:28" s="308" customFormat="1" x14ac:dyDescent="0.2">
      <c r="M10604" s="309"/>
      <c r="AB10604" s="310"/>
    </row>
    <row r="10605" spans="13:28" s="308" customFormat="1" x14ac:dyDescent="0.2">
      <c r="M10605" s="309"/>
      <c r="AB10605" s="310"/>
    </row>
    <row r="10606" spans="13:28" s="308" customFormat="1" x14ac:dyDescent="0.2">
      <c r="M10606" s="309"/>
      <c r="AB10606" s="310"/>
    </row>
    <row r="10607" spans="13:28" s="308" customFormat="1" x14ac:dyDescent="0.2">
      <c r="M10607" s="309"/>
      <c r="AB10607" s="310"/>
    </row>
    <row r="10608" spans="13:28" s="308" customFormat="1" x14ac:dyDescent="0.2">
      <c r="M10608" s="309"/>
      <c r="AB10608" s="310"/>
    </row>
    <row r="10609" spans="13:28" s="308" customFormat="1" x14ac:dyDescent="0.2">
      <c r="M10609" s="309"/>
      <c r="AB10609" s="310"/>
    </row>
    <row r="10610" spans="13:28" s="308" customFormat="1" x14ac:dyDescent="0.2">
      <c r="M10610" s="309"/>
      <c r="AB10610" s="310"/>
    </row>
    <row r="10611" spans="13:28" s="308" customFormat="1" x14ac:dyDescent="0.2">
      <c r="M10611" s="309"/>
      <c r="AB10611" s="310"/>
    </row>
    <row r="10612" spans="13:28" s="308" customFormat="1" x14ac:dyDescent="0.2">
      <c r="M10612" s="309"/>
      <c r="AB10612" s="310"/>
    </row>
    <row r="10613" spans="13:28" s="308" customFormat="1" x14ac:dyDescent="0.2">
      <c r="M10613" s="309"/>
      <c r="AB10613" s="310"/>
    </row>
    <row r="10614" spans="13:28" s="308" customFormat="1" x14ac:dyDescent="0.2">
      <c r="M10614" s="309"/>
      <c r="AB10614" s="310"/>
    </row>
    <row r="10615" spans="13:28" s="308" customFormat="1" x14ac:dyDescent="0.2">
      <c r="M10615" s="309"/>
      <c r="AB10615" s="310"/>
    </row>
    <row r="10616" spans="13:28" s="308" customFormat="1" x14ac:dyDescent="0.2">
      <c r="M10616" s="309"/>
      <c r="AB10616" s="310"/>
    </row>
    <row r="10617" spans="13:28" s="308" customFormat="1" x14ac:dyDescent="0.2">
      <c r="M10617" s="309"/>
      <c r="AB10617" s="310"/>
    </row>
    <row r="10618" spans="13:28" s="308" customFormat="1" x14ac:dyDescent="0.2">
      <c r="M10618" s="309"/>
      <c r="AB10618" s="310"/>
    </row>
    <row r="10619" spans="13:28" s="308" customFormat="1" x14ac:dyDescent="0.2">
      <c r="M10619" s="309"/>
      <c r="AB10619" s="310"/>
    </row>
    <row r="10620" spans="13:28" s="308" customFormat="1" x14ac:dyDescent="0.2">
      <c r="M10620" s="309"/>
      <c r="AB10620" s="310"/>
    </row>
    <row r="10621" spans="13:28" s="308" customFormat="1" x14ac:dyDescent="0.2">
      <c r="M10621" s="309"/>
      <c r="AB10621" s="310"/>
    </row>
    <row r="10622" spans="13:28" s="308" customFormat="1" x14ac:dyDescent="0.2">
      <c r="M10622" s="309"/>
      <c r="AB10622" s="310"/>
    </row>
    <row r="10623" spans="13:28" s="308" customFormat="1" x14ac:dyDescent="0.2">
      <c r="M10623" s="309"/>
      <c r="AB10623" s="310"/>
    </row>
    <row r="10624" spans="13:28" s="308" customFormat="1" x14ac:dyDescent="0.2">
      <c r="M10624" s="309"/>
      <c r="AB10624" s="310"/>
    </row>
    <row r="10625" spans="13:28" s="308" customFormat="1" x14ac:dyDescent="0.2">
      <c r="M10625" s="309"/>
      <c r="AB10625" s="310"/>
    </row>
    <row r="10626" spans="13:28" s="308" customFormat="1" x14ac:dyDescent="0.2">
      <c r="M10626" s="309"/>
      <c r="AB10626" s="310"/>
    </row>
    <row r="10627" spans="13:28" s="308" customFormat="1" x14ac:dyDescent="0.2">
      <c r="M10627" s="309"/>
      <c r="AB10627" s="310"/>
    </row>
    <row r="10628" spans="13:28" s="308" customFormat="1" x14ac:dyDescent="0.2">
      <c r="M10628" s="309"/>
      <c r="AB10628" s="310"/>
    </row>
    <row r="10629" spans="13:28" s="308" customFormat="1" x14ac:dyDescent="0.2">
      <c r="M10629" s="309"/>
      <c r="AB10629" s="310"/>
    </row>
    <row r="10630" spans="13:28" s="308" customFormat="1" x14ac:dyDescent="0.2">
      <c r="M10630" s="309"/>
      <c r="AB10630" s="310"/>
    </row>
    <row r="10631" spans="13:28" s="308" customFormat="1" x14ac:dyDescent="0.2">
      <c r="M10631" s="309"/>
      <c r="AB10631" s="310"/>
    </row>
    <row r="10632" spans="13:28" s="308" customFormat="1" x14ac:dyDescent="0.2">
      <c r="M10632" s="309"/>
      <c r="AB10632" s="310"/>
    </row>
    <row r="10633" spans="13:28" s="308" customFormat="1" x14ac:dyDescent="0.2">
      <c r="M10633" s="309"/>
      <c r="AB10633" s="310"/>
    </row>
    <row r="10634" spans="13:28" s="308" customFormat="1" x14ac:dyDescent="0.2">
      <c r="M10634" s="309"/>
      <c r="AB10634" s="310"/>
    </row>
    <row r="10635" spans="13:28" s="308" customFormat="1" x14ac:dyDescent="0.2">
      <c r="M10635" s="309"/>
      <c r="AB10635" s="310"/>
    </row>
    <row r="10636" spans="13:28" s="308" customFormat="1" x14ac:dyDescent="0.2">
      <c r="M10636" s="309"/>
      <c r="AB10636" s="310"/>
    </row>
    <row r="10637" spans="13:28" s="308" customFormat="1" x14ac:dyDescent="0.2">
      <c r="M10637" s="309"/>
      <c r="AB10637" s="310"/>
    </row>
    <row r="10638" spans="13:28" s="308" customFormat="1" x14ac:dyDescent="0.2">
      <c r="M10638" s="309"/>
      <c r="AB10638" s="310"/>
    </row>
    <row r="10639" spans="13:28" s="308" customFormat="1" x14ac:dyDescent="0.2">
      <c r="M10639" s="309"/>
      <c r="AB10639" s="310"/>
    </row>
    <row r="10640" spans="13:28" s="308" customFormat="1" x14ac:dyDescent="0.2">
      <c r="M10640" s="309"/>
      <c r="AB10640" s="310"/>
    </row>
    <row r="10641" spans="13:28" s="308" customFormat="1" x14ac:dyDescent="0.2">
      <c r="M10641" s="309"/>
      <c r="AB10641" s="310"/>
    </row>
    <row r="10642" spans="13:28" s="308" customFormat="1" x14ac:dyDescent="0.2">
      <c r="M10642" s="309"/>
      <c r="AB10642" s="310"/>
    </row>
    <row r="10643" spans="13:28" s="308" customFormat="1" x14ac:dyDescent="0.2">
      <c r="M10643" s="309"/>
      <c r="AB10643" s="310"/>
    </row>
    <row r="10644" spans="13:28" s="308" customFormat="1" x14ac:dyDescent="0.2">
      <c r="M10644" s="309"/>
      <c r="AB10644" s="310"/>
    </row>
    <row r="10645" spans="13:28" s="308" customFormat="1" x14ac:dyDescent="0.2">
      <c r="M10645" s="309"/>
      <c r="AB10645" s="310"/>
    </row>
    <row r="10646" spans="13:28" s="308" customFormat="1" x14ac:dyDescent="0.2">
      <c r="M10646" s="309"/>
      <c r="AB10646" s="310"/>
    </row>
    <row r="10647" spans="13:28" s="308" customFormat="1" x14ac:dyDescent="0.2">
      <c r="M10647" s="309"/>
      <c r="AB10647" s="310"/>
    </row>
    <row r="10648" spans="13:28" s="308" customFormat="1" x14ac:dyDescent="0.2">
      <c r="M10648" s="309"/>
      <c r="AB10648" s="310"/>
    </row>
    <row r="10649" spans="13:28" s="308" customFormat="1" x14ac:dyDescent="0.2">
      <c r="M10649" s="309"/>
      <c r="AB10649" s="310"/>
    </row>
    <row r="10650" spans="13:28" s="308" customFormat="1" x14ac:dyDescent="0.2">
      <c r="M10650" s="309"/>
      <c r="AB10650" s="310"/>
    </row>
    <row r="10651" spans="13:28" s="308" customFormat="1" x14ac:dyDescent="0.2">
      <c r="M10651" s="309"/>
      <c r="AB10651" s="310"/>
    </row>
    <row r="10652" spans="13:28" s="308" customFormat="1" x14ac:dyDescent="0.2">
      <c r="M10652" s="309"/>
      <c r="AB10652" s="310"/>
    </row>
    <row r="10653" spans="13:28" s="308" customFormat="1" x14ac:dyDescent="0.2">
      <c r="M10653" s="309"/>
      <c r="AB10653" s="310"/>
    </row>
    <row r="10654" spans="13:28" s="308" customFormat="1" x14ac:dyDescent="0.2">
      <c r="M10654" s="309"/>
      <c r="AB10654" s="310"/>
    </row>
    <row r="10655" spans="13:28" s="308" customFormat="1" x14ac:dyDescent="0.2">
      <c r="M10655" s="309"/>
      <c r="AB10655" s="310"/>
    </row>
    <row r="10656" spans="13:28" s="308" customFormat="1" x14ac:dyDescent="0.2">
      <c r="M10656" s="309"/>
      <c r="AB10656" s="310"/>
    </row>
    <row r="10657" spans="13:28" s="308" customFormat="1" x14ac:dyDescent="0.2">
      <c r="M10657" s="309"/>
      <c r="AB10657" s="310"/>
    </row>
    <row r="10658" spans="13:28" s="308" customFormat="1" x14ac:dyDescent="0.2">
      <c r="M10658" s="309"/>
      <c r="AB10658" s="310"/>
    </row>
    <row r="10659" spans="13:28" s="308" customFormat="1" x14ac:dyDescent="0.2">
      <c r="M10659" s="309"/>
      <c r="AB10659" s="310"/>
    </row>
    <row r="10660" spans="13:28" s="308" customFormat="1" x14ac:dyDescent="0.2">
      <c r="M10660" s="309"/>
      <c r="AB10660" s="310"/>
    </row>
    <row r="10661" spans="13:28" s="308" customFormat="1" x14ac:dyDescent="0.2">
      <c r="M10661" s="309"/>
      <c r="AB10661" s="310"/>
    </row>
    <row r="10662" spans="13:28" s="308" customFormat="1" x14ac:dyDescent="0.2">
      <c r="M10662" s="309"/>
      <c r="AB10662" s="310"/>
    </row>
    <row r="10663" spans="13:28" s="308" customFormat="1" x14ac:dyDescent="0.2">
      <c r="M10663" s="309"/>
      <c r="AB10663" s="310"/>
    </row>
    <row r="10664" spans="13:28" s="308" customFormat="1" x14ac:dyDescent="0.2">
      <c r="M10664" s="309"/>
      <c r="AB10664" s="310"/>
    </row>
    <row r="10665" spans="13:28" s="308" customFormat="1" x14ac:dyDescent="0.2">
      <c r="M10665" s="309"/>
      <c r="AB10665" s="310"/>
    </row>
    <row r="10666" spans="13:28" s="308" customFormat="1" x14ac:dyDescent="0.2">
      <c r="M10666" s="309"/>
      <c r="AB10666" s="310"/>
    </row>
    <row r="10667" spans="13:28" s="308" customFormat="1" x14ac:dyDescent="0.2">
      <c r="M10667" s="309"/>
      <c r="AB10667" s="310"/>
    </row>
    <row r="10668" spans="13:28" s="308" customFormat="1" x14ac:dyDescent="0.2">
      <c r="M10668" s="309"/>
      <c r="AB10668" s="310"/>
    </row>
    <row r="10669" spans="13:28" s="308" customFormat="1" x14ac:dyDescent="0.2">
      <c r="M10669" s="309"/>
      <c r="AB10669" s="310"/>
    </row>
    <row r="10670" spans="13:28" s="308" customFormat="1" x14ac:dyDescent="0.2">
      <c r="M10670" s="309"/>
      <c r="AB10670" s="310"/>
    </row>
    <row r="10671" spans="13:28" s="308" customFormat="1" x14ac:dyDescent="0.2">
      <c r="M10671" s="309"/>
      <c r="AB10671" s="310"/>
    </row>
    <row r="10672" spans="13:28" s="308" customFormat="1" x14ac:dyDescent="0.2">
      <c r="M10672" s="309"/>
      <c r="AB10672" s="310"/>
    </row>
    <row r="10673" spans="13:28" s="308" customFormat="1" x14ac:dyDescent="0.2">
      <c r="M10673" s="309"/>
      <c r="AB10673" s="310"/>
    </row>
    <row r="10674" spans="13:28" s="308" customFormat="1" x14ac:dyDescent="0.2">
      <c r="M10674" s="309"/>
      <c r="AB10674" s="310"/>
    </row>
    <row r="10675" spans="13:28" s="308" customFormat="1" x14ac:dyDescent="0.2">
      <c r="M10675" s="309"/>
      <c r="AB10675" s="310"/>
    </row>
    <row r="10676" spans="13:28" s="308" customFormat="1" x14ac:dyDescent="0.2">
      <c r="M10676" s="309"/>
      <c r="AB10676" s="310"/>
    </row>
    <row r="10677" spans="13:28" s="308" customFormat="1" x14ac:dyDescent="0.2">
      <c r="M10677" s="309"/>
      <c r="AB10677" s="310"/>
    </row>
    <row r="10678" spans="13:28" s="308" customFormat="1" x14ac:dyDescent="0.2">
      <c r="M10678" s="309"/>
      <c r="AB10678" s="310"/>
    </row>
    <row r="10679" spans="13:28" s="308" customFormat="1" x14ac:dyDescent="0.2">
      <c r="M10679" s="309"/>
      <c r="AB10679" s="310"/>
    </row>
    <row r="10680" spans="13:28" s="308" customFormat="1" x14ac:dyDescent="0.2">
      <c r="M10680" s="309"/>
      <c r="AB10680" s="310"/>
    </row>
    <row r="10681" spans="13:28" s="308" customFormat="1" x14ac:dyDescent="0.2">
      <c r="M10681" s="309"/>
      <c r="AB10681" s="310"/>
    </row>
    <row r="10682" spans="13:28" s="308" customFormat="1" x14ac:dyDescent="0.2">
      <c r="M10682" s="309"/>
      <c r="AB10682" s="310"/>
    </row>
    <row r="10683" spans="13:28" s="308" customFormat="1" x14ac:dyDescent="0.2">
      <c r="M10683" s="309"/>
      <c r="AB10683" s="310"/>
    </row>
    <row r="10684" spans="13:28" s="308" customFormat="1" x14ac:dyDescent="0.2">
      <c r="M10684" s="309"/>
      <c r="AB10684" s="310"/>
    </row>
    <row r="10685" spans="13:28" s="308" customFormat="1" x14ac:dyDescent="0.2">
      <c r="M10685" s="309"/>
      <c r="AB10685" s="310"/>
    </row>
    <row r="10686" spans="13:28" s="308" customFormat="1" x14ac:dyDescent="0.2">
      <c r="M10686" s="309"/>
      <c r="AB10686" s="310"/>
    </row>
    <row r="10687" spans="13:28" s="308" customFormat="1" x14ac:dyDescent="0.2">
      <c r="M10687" s="309"/>
      <c r="AB10687" s="310"/>
    </row>
    <row r="10688" spans="13:28" s="308" customFormat="1" x14ac:dyDescent="0.2">
      <c r="M10688" s="309"/>
      <c r="AB10688" s="310"/>
    </row>
    <row r="10689" spans="13:28" s="308" customFormat="1" x14ac:dyDescent="0.2">
      <c r="M10689" s="309"/>
      <c r="AB10689" s="310"/>
    </row>
    <row r="10690" spans="13:28" s="308" customFormat="1" x14ac:dyDescent="0.2">
      <c r="M10690" s="309"/>
      <c r="AB10690" s="310"/>
    </row>
    <row r="10691" spans="13:28" s="308" customFormat="1" x14ac:dyDescent="0.2">
      <c r="M10691" s="309"/>
      <c r="AB10691" s="310"/>
    </row>
    <row r="10692" spans="13:28" s="308" customFormat="1" x14ac:dyDescent="0.2">
      <c r="M10692" s="309"/>
      <c r="AB10692" s="310"/>
    </row>
    <row r="10693" spans="13:28" s="308" customFormat="1" x14ac:dyDescent="0.2">
      <c r="M10693" s="309"/>
      <c r="AB10693" s="310"/>
    </row>
    <row r="10694" spans="13:28" s="308" customFormat="1" x14ac:dyDescent="0.2">
      <c r="M10694" s="309"/>
      <c r="AB10694" s="310"/>
    </row>
    <row r="10695" spans="13:28" s="308" customFormat="1" x14ac:dyDescent="0.2">
      <c r="M10695" s="309"/>
      <c r="AB10695" s="310"/>
    </row>
    <row r="10696" spans="13:28" s="308" customFormat="1" x14ac:dyDescent="0.2">
      <c r="M10696" s="309"/>
      <c r="AB10696" s="310"/>
    </row>
    <row r="10697" spans="13:28" s="308" customFormat="1" x14ac:dyDescent="0.2">
      <c r="M10697" s="309"/>
      <c r="AB10697" s="310"/>
    </row>
    <row r="10698" spans="13:28" s="308" customFormat="1" x14ac:dyDescent="0.2">
      <c r="M10698" s="309"/>
      <c r="AB10698" s="310"/>
    </row>
    <row r="10699" spans="13:28" s="308" customFormat="1" x14ac:dyDescent="0.2">
      <c r="M10699" s="309"/>
      <c r="AB10699" s="310"/>
    </row>
    <row r="10700" spans="13:28" s="308" customFormat="1" x14ac:dyDescent="0.2">
      <c r="M10700" s="309"/>
      <c r="AB10700" s="310"/>
    </row>
    <row r="10701" spans="13:28" s="308" customFormat="1" x14ac:dyDescent="0.2">
      <c r="M10701" s="309"/>
      <c r="AB10701" s="310"/>
    </row>
    <row r="10702" spans="13:28" s="308" customFormat="1" x14ac:dyDescent="0.2">
      <c r="M10702" s="309"/>
      <c r="AB10702" s="310"/>
    </row>
    <row r="10703" spans="13:28" s="308" customFormat="1" x14ac:dyDescent="0.2">
      <c r="M10703" s="309"/>
      <c r="AB10703" s="310"/>
    </row>
    <row r="10704" spans="13:28" s="308" customFormat="1" x14ac:dyDescent="0.2">
      <c r="M10704" s="309"/>
      <c r="AB10704" s="310"/>
    </row>
    <row r="10705" spans="13:28" s="308" customFormat="1" x14ac:dyDescent="0.2">
      <c r="M10705" s="309"/>
      <c r="AB10705" s="310"/>
    </row>
    <row r="10706" spans="13:28" s="308" customFormat="1" x14ac:dyDescent="0.2">
      <c r="M10706" s="309"/>
      <c r="AB10706" s="310"/>
    </row>
    <row r="10707" spans="13:28" s="308" customFormat="1" x14ac:dyDescent="0.2">
      <c r="M10707" s="309"/>
      <c r="AB10707" s="310"/>
    </row>
    <row r="10708" spans="13:28" s="308" customFormat="1" x14ac:dyDescent="0.2">
      <c r="M10708" s="309"/>
      <c r="AB10708" s="310"/>
    </row>
    <row r="10709" spans="13:28" s="308" customFormat="1" x14ac:dyDescent="0.2">
      <c r="M10709" s="309"/>
      <c r="AB10709" s="310"/>
    </row>
    <row r="10710" spans="13:28" s="308" customFormat="1" x14ac:dyDescent="0.2">
      <c r="M10710" s="309"/>
      <c r="AB10710" s="310"/>
    </row>
    <row r="10711" spans="13:28" s="308" customFormat="1" x14ac:dyDescent="0.2">
      <c r="M10711" s="309"/>
      <c r="AB10711" s="310"/>
    </row>
    <row r="10712" spans="13:28" s="308" customFormat="1" x14ac:dyDescent="0.2">
      <c r="M10712" s="309"/>
      <c r="AB10712" s="310"/>
    </row>
    <row r="10713" spans="13:28" s="308" customFormat="1" x14ac:dyDescent="0.2">
      <c r="M10713" s="309"/>
      <c r="AB10713" s="310"/>
    </row>
    <row r="10714" spans="13:28" s="308" customFormat="1" x14ac:dyDescent="0.2">
      <c r="M10714" s="309"/>
      <c r="AB10714" s="310"/>
    </row>
    <row r="10715" spans="13:28" s="308" customFormat="1" x14ac:dyDescent="0.2">
      <c r="M10715" s="309"/>
      <c r="AB10715" s="310"/>
    </row>
    <row r="10716" spans="13:28" s="308" customFormat="1" x14ac:dyDescent="0.2">
      <c r="M10716" s="309"/>
      <c r="AB10716" s="310"/>
    </row>
    <row r="10717" spans="13:28" s="308" customFormat="1" x14ac:dyDescent="0.2">
      <c r="M10717" s="309"/>
      <c r="AB10717" s="310"/>
    </row>
    <row r="10718" spans="13:28" s="308" customFormat="1" x14ac:dyDescent="0.2">
      <c r="M10718" s="309"/>
      <c r="AB10718" s="310"/>
    </row>
    <row r="10719" spans="13:28" s="308" customFormat="1" x14ac:dyDescent="0.2">
      <c r="M10719" s="309"/>
      <c r="AB10719" s="310"/>
    </row>
    <row r="10720" spans="13:28" s="308" customFormat="1" x14ac:dyDescent="0.2">
      <c r="M10720" s="309"/>
      <c r="AB10720" s="310"/>
    </row>
    <row r="10721" spans="13:28" s="308" customFormat="1" x14ac:dyDescent="0.2">
      <c r="M10721" s="309"/>
      <c r="AB10721" s="310"/>
    </row>
    <row r="10722" spans="13:28" s="308" customFormat="1" x14ac:dyDescent="0.2">
      <c r="M10722" s="309"/>
      <c r="AB10722" s="310"/>
    </row>
    <row r="10723" spans="13:28" s="308" customFormat="1" x14ac:dyDescent="0.2">
      <c r="M10723" s="309"/>
      <c r="AB10723" s="310"/>
    </row>
    <row r="10724" spans="13:28" s="308" customFormat="1" x14ac:dyDescent="0.2">
      <c r="M10724" s="309"/>
      <c r="AB10724" s="310"/>
    </row>
    <row r="10725" spans="13:28" s="308" customFormat="1" x14ac:dyDescent="0.2">
      <c r="M10725" s="309"/>
      <c r="AB10725" s="310"/>
    </row>
    <row r="10726" spans="13:28" s="308" customFormat="1" x14ac:dyDescent="0.2">
      <c r="M10726" s="309"/>
      <c r="AB10726" s="310"/>
    </row>
    <row r="10727" spans="13:28" s="308" customFormat="1" x14ac:dyDescent="0.2">
      <c r="M10727" s="309"/>
      <c r="AB10727" s="310"/>
    </row>
    <row r="10728" spans="13:28" s="308" customFormat="1" x14ac:dyDescent="0.2">
      <c r="M10728" s="309"/>
      <c r="AB10728" s="310"/>
    </row>
    <row r="10729" spans="13:28" s="308" customFormat="1" x14ac:dyDescent="0.2">
      <c r="M10729" s="309"/>
      <c r="AB10729" s="310"/>
    </row>
    <row r="10730" spans="13:28" s="308" customFormat="1" x14ac:dyDescent="0.2">
      <c r="M10730" s="309"/>
      <c r="AB10730" s="310"/>
    </row>
    <row r="10731" spans="13:28" s="308" customFormat="1" x14ac:dyDescent="0.2">
      <c r="M10731" s="309"/>
      <c r="AB10731" s="310"/>
    </row>
    <row r="10732" spans="13:28" s="308" customFormat="1" x14ac:dyDescent="0.2">
      <c r="M10732" s="309"/>
      <c r="AB10732" s="310"/>
    </row>
    <row r="10733" spans="13:28" s="308" customFormat="1" x14ac:dyDescent="0.2">
      <c r="M10733" s="309"/>
      <c r="AB10733" s="310"/>
    </row>
    <row r="10734" spans="13:28" s="308" customFormat="1" x14ac:dyDescent="0.2">
      <c r="M10734" s="309"/>
      <c r="AB10734" s="310"/>
    </row>
    <row r="10735" spans="13:28" s="308" customFormat="1" x14ac:dyDescent="0.2">
      <c r="M10735" s="309"/>
      <c r="AB10735" s="310"/>
    </row>
    <row r="10736" spans="13:28" s="308" customFormat="1" x14ac:dyDescent="0.2">
      <c r="M10736" s="309"/>
      <c r="AB10736" s="310"/>
    </row>
    <row r="10737" spans="13:28" s="308" customFormat="1" x14ac:dyDescent="0.2">
      <c r="M10737" s="309"/>
      <c r="AB10737" s="310"/>
    </row>
    <row r="10738" spans="13:28" s="308" customFormat="1" x14ac:dyDescent="0.2">
      <c r="M10738" s="309"/>
      <c r="AB10738" s="310"/>
    </row>
    <row r="10739" spans="13:28" s="308" customFormat="1" x14ac:dyDescent="0.2">
      <c r="M10739" s="309"/>
      <c r="AB10739" s="310"/>
    </row>
    <row r="10740" spans="13:28" s="308" customFormat="1" x14ac:dyDescent="0.2">
      <c r="M10740" s="309"/>
      <c r="AB10740" s="310"/>
    </row>
    <row r="10741" spans="13:28" s="308" customFormat="1" x14ac:dyDescent="0.2">
      <c r="M10741" s="309"/>
      <c r="AB10741" s="310"/>
    </row>
    <row r="10742" spans="13:28" s="308" customFormat="1" x14ac:dyDescent="0.2">
      <c r="M10742" s="309"/>
      <c r="AB10742" s="310"/>
    </row>
    <row r="10743" spans="13:28" s="308" customFormat="1" x14ac:dyDescent="0.2">
      <c r="M10743" s="309"/>
      <c r="AB10743" s="310"/>
    </row>
    <row r="10744" spans="13:28" s="308" customFormat="1" x14ac:dyDescent="0.2">
      <c r="M10744" s="309"/>
      <c r="AB10744" s="310"/>
    </row>
    <row r="10745" spans="13:28" s="308" customFormat="1" x14ac:dyDescent="0.2">
      <c r="M10745" s="309"/>
      <c r="AB10745" s="310"/>
    </row>
    <row r="10746" spans="13:28" s="308" customFormat="1" x14ac:dyDescent="0.2">
      <c r="M10746" s="309"/>
      <c r="AB10746" s="310"/>
    </row>
    <row r="10747" spans="13:28" s="308" customFormat="1" x14ac:dyDescent="0.2">
      <c r="M10747" s="309"/>
      <c r="AB10747" s="310"/>
    </row>
    <row r="10748" spans="13:28" s="308" customFormat="1" x14ac:dyDescent="0.2">
      <c r="M10748" s="309"/>
      <c r="AB10748" s="310"/>
    </row>
    <row r="10749" spans="13:28" s="308" customFormat="1" x14ac:dyDescent="0.2">
      <c r="M10749" s="309"/>
      <c r="AB10749" s="310"/>
    </row>
    <row r="10750" spans="13:28" s="308" customFormat="1" x14ac:dyDescent="0.2">
      <c r="M10750" s="309"/>
      <c r="AB10750" s="310"/>
    </row>
    <row r="10751" spans="13:28" s="308" customFormat="1" x14ac:dyDescent="0.2">
      <c r="M10751" s="309"/>
      <c r="AB10751" s="310"/>
    </row>
    <row r="10752" spans="13:28" s="308" customFormat="1" x14ac:dyDescent="0.2">
      <c r="M10752" s="309"/>
      <c r="AB10752" s="310"/>
    </row>
    <row r="10753" spans="13:28" s="308" customFormat="1" x14ac:dyDescent="0.2">
      <c r="M10753" s="309"/>
      <c r="AB10753" s="310"/>
    </row>
    <row r="10754" spans="13:28" s="308" customFormat="1" x14ac:dyDescent="0.2">
      <c r="M10754" s="309"/>
      <c r="AB10754" s="310"/>
    </row>
    <row r="10755" spans="13:28" s="308" customFormat="1" x14ac:dyDescent="0.2">
      <c r="M10755" s="309"/>
      <c r="AB10755" s="310"/>
    </row>
    <row r="10756" spans="13:28" s="308" customFormat="1" x14ac:dyDescent="0.2">
      <c r="M10756" s="309"/>
      <c r="AB10756" s="310"/>
    </row>
    <row r="10757" spans="13:28" s="308" customFormat="1" x14ac:dyDescent="0.2">
      <c r="M10757" s="309"/>
      <c r="AB10757" s="310"/>
    </row>
    <row r="10758" spans="13:28" s="308" customFormat="1" x14ac:dyDescent="0.2">
      <c r="M10758" s="309"/>
      <c r="AB10758" s="310"/>
    </row>
    <row r="10759" spans="13:28" s="308" customFormat="1" x14ac:dyDescent="0.2">
      <c r="M10759" s="309"/>
      <c r="AB10759" s="310"/>
    </row>
    <row r="10760" spans="13:28" s="308" customFormat="1" x14ac:dyDescent="0.2">
      <c r="M10760" s="309"/>
      <c r="AB10760" s="310"/>
    </row>
    <row r="10761" spans="13:28" s="308" customFormat="1" x14ac:dyDescent="0.2">
      <c r="M10761" s="309"/>
      <c r="AB10761" s="310"/>
    </row>
    <row r="10762" spans="13:28" s="308" customFormat="1" x14ac:dyDescent="0.2">
      <c r="M10762" s="309"/>
      <c r="AB10762" s="310"/>
    </row>
    <row r="10763" spans="13:28" s="308" customFormat="1" x14ac:dyDescent="0.2">
      <c r="M10763" s="309"/>
      <c r="AB10763" s="310"/>
    </row>
    <row r="10764" spans="13:28" s="308" customFormat="1" x14ac:dyDescent="0.2">
      <c r="M10764" s="309"/>
      <c r="AB10764" s="310"/>
    </row>
    <row r="10765" spans="13:28" s="308" customFormat="1" x14ac:dyDescent="0.2">
      <c r="M10765" s="309"/>
      <c r="AB10765" s="310"/>
    </row>
    <row r="10766" spans="13:28" s="308" customFormat="1" x14ac:dyDescent="0.2">
      <c r="M10766" s="309"/>
      <c r="AB10766" s="310"/>
    </row>
    <row r="10767" spans="13:28" s="308" customFormat="1" x14ac:dyDescent="0.2">
      <c r="M10767" s="309"/>
      <c r="AB10767" s="310"/>
    </row>
    <row r="10768" spans="13:28" s="308" customFormat="1" x14ac:dyDescent="0.2">
      <c r="M10768" s="309"/>
      <c r="AB10768" s="310"/>
    </row>
    <row r="10769" spans="13:28" s="308" customFormat="1" x14ac:dyDescent="0.2">
      <c r="M10769" s="309"/>
      <c r="AB10769" s="310"/>
    </row>
    <row r="10770" spans="13:28" s="308" customFormat="1" x14ac:dyDescent="0.2">
      <c r="M10770" s="309"/>
      <c r="AB10770" s="310"/>
    </row>
    <row r="10771" spans="13:28" s="308" customFormat="1" x14ac:dyDescent="0.2">
      <c r="M10771" s="309"/>
      <c r="AB10771" s="310"/>
    </row>
    <row r="10772" spans="13:28" s="308" customFormat="1" x14ac:dyDescent="0.2">
      <c r="M10772" s="309"/>
      <c r="AB10772" s="310"/>
    </row>
    <row r="10773" spans="13:28" s="308" customFormat="1" x14ac:dyDescent="0.2">
      <c r="M10773" s="309"/>
      <c r="AB10773" s="310"/>
    </row>
    <row r="10774" spans="13:28" s="308" customFormat="1" x14ac:dyDescent="0.2">
      <c r="M10774" s="309"/>
      <c r="AB10774" s="310"/>
    </row>
    <row r="10775" spans="13:28" s="308" customFormat="1" x14ac:dyDescent="0.2">
      <c r="M10775" s="309"/>
      <c r="AB10775" s="310"/>
    </row>
    <row r="10776" spans="13:28" s="308" customFormat="1" x14ac:dyDescent="0.2">
      <c r="M10776" s="309"/>
      <c r="AB10776" s="310"/>
    </row>
    <row r="10777" spans="13:28" s="308" customFormat="1" x14ac:dyDescent="0.2">
      <c r="M10777" s="309"/>
      <c r="AB10777" s="310"/>
    </row>
    <row r="10778" spans="13:28" s="308" customFormat="1" x14ac:dyDescent="0.2">
      <c r="M10778" s="309"/>
      <c r="AB10778" s="310"/>
    </row>
    <row r="10779" spans="13:28" s="308" customFormat="1" x14ac:dyDescent="0.2">
      <c r="M10779" s="309"/>
      <c r="AB10779" s="310"/>
    </row>
    <row r="10780" spans="13:28" s="308" customFormat="1" x14ac:dyDescent="0.2">
      <c r="M10780" s="309"/>
      <c r="AB10780" s="310"/>
    </row>
    <row r="10781" spans="13:28" s="308" customFormat="1" x14ac:dyDescent="0.2">
      <c r="M10781" s="309"/>
      <c r="AB10781" s="310"/>
    </row>
    <row r="10782" spans="13:28" s="308" customFormat="1" x14ac:dyDescent="0.2">
      <c r="M10782" s="309"/>
      <c r="AB10782" s="310"/>
    </row>
    <row r="10783" spans="13:28" s="308" customFormat="1" x14ac:dyDescent="0.2">
      <c r="M10783" s="309"/>
      <c r="AB10783" s="310"/>
    </row>
    <row r="10784" spans="13:28" s="308" customFormat="1" x14ac:dyDescent="0.2">
      <c r="M10784" s="309"/>
      <c r="AB10784" s="310"/>
    </row>
    <row r="10785" spans="13:28" s="308" customFormat="1" x14ac:dyDescent="0.2">
      <c r="M10785" s="309"/>
      <c r="AB10785" s="310"/>
    </row>
    <row r="10786" spans="13:28" s="308" customFormat="1" x14ac:dyDescent="0.2">
      <c r="M10786" s="309"/>
      <c r="AB10786" s="310"/>
    </row>
    <row r="10787" spans="13:28" s="308" customFormat="1" x14ac:dyDescent="0.2">
      <c r="M10787" s="309"/>
      <c r="AB10787" s="310"/>
    </row>
    <row r="10788" spans="13:28" s="308" customFormat="1" x14ac:dyDescent="0.2">
      <c r="M10788" s="309"/>
      <c r="AB10788" s="310"/>
    </row>
    <row r="10789" spans="13:28" s="308" customFormat="1" x14ac:dyDescent="0.2">
      <c r="M10789" s="309"/>
      <c r="AB10789" s="310"/>
    </row>
    <row r="10790" spans="13:28" s="308" customFormat="1" x14ac:dyDescent="0.2">
      <c r="M10790" s="309"/>
      <c r="AB10790" s="310"/>
    </row>
    <row r="10791" spans="13:28" s="308" customFormat="1" x14ac:dyDescent="0.2">
      <c r="M10791" s="309"/>
      <c r="AB10791" s="310"/>
    </row>
    <row r="10792" spans="13:28" s="308" customFormat="1" x14ac:dyDescent="0.2">
      <c r="M10792" s="309"/>
      <c r="AB10792" s="310"/>
    </row>
    <row r="10793" spans="13:28" s="308" customFormat="1" x14ac:dyDescent="0.2">
      <c r="M10793" s="309"/>
      <c r="AB10793" s="310"/>
    </row>
    <row r="10794" spans="13:28" s="308" customFormat="1" x14ac:dyDescent="0.2">
      <c r="M10794" s="309"/>
      <c r="AB10794" s="310"/>
    </row>
    <row r="10795" spans="13:28" s="308" customFormat="1" x14ac:dyDescent="0.2">
      <c r="M10795" s="309"/>
      <c r="AB10795" s="310"/>
    </row>
    <row r="10796" spans="13:28" s="308" customFormat="1" x14ac:dyDescent="0.2">
      <c r="M10796" s="309"/>
      <c r="AB10796" s="310"/>
    </row>
    <row r="10797" spans="13:28" s="308" customFormat="1" x14ac:dyDescent="0.2">
      <c r="M10797" s="309"/>
      <c r="AB10797" s="310"/>
    </row>
    <row r="10798" spans="13:28" s="308" customFormat="1" x14ac:dyDescent="0.2">
      <c r="M10798" s="309"/>
      <c r="AB10798" s="310"/>
    </row>
    <row r="10799" spans="13:28" s="308" customFormat="1" x14ac:dyDescent="0.2">
      <c r="M10799" s="309"/>
      <c r="AB10799" s="310"/>
    </row>
    <row r="10800" spans="13:28" s="308" customFormat="1" x14ac:dyDescent="0.2">
      <c r="M10800" s="309"/>
      <c r="AB10800" s="310"/>
    </row>
    <row r="10801" spans="13:28" s="308" customFormat="1" x14ac:dyDescent="0.2">
      <c r="M10801" s="309"/>
      <c r="AB10801" s="310"/>
    </row>
    <row r="10802" spans="13:28" s="308" customFormat="1" x14ac:dyDescent="0.2">
      <c r="M10802" s="309"/>
      <c r="AB10802" s="310"/>
    </row>
    <row r="10803" spans="13:28" s="308" customFormat="1" x14ac:dyDescent="0.2">
      <c r="M10803" s="309"/>
      <c r="AB10803" s="310"/>
    </row>
    <row r="10804" spans="13:28" s="308" customFormat="1" x14ac:dyDescent="0.2">
      <c r="M10804" s="309"/>
      <c r="AB10804" s="310"/>
    </row>
    <row r="10805" spans="13:28" s="308" customFormat="1" x14ac:dyDescent="0.2">
      <c r="M10805" s="309"/>
      <c r="AB10805" s="310"/>
    </row>
    <row r="10806" spans="13:28" s="308" customFormat="1" x14ac:dyDescent="0.2">
      <c r="M10806" s="309"/>
      <c r="AB10806" s="310"/>
    </row>
    <row r="10807" spans="13:28" s="308" customFormat="1" x14ac:dyDescent="0.2">
      <c r="M10807" s="309"/>
      <c r="AB10807" s="310"/>
    </row>
    <row r="10808" spans="13:28" s="308" customFormat="1" x14ac:dyDescent="0.2">
      <c r="M10808" s="309"/>
      <c r="AB10808" s="310"/>
    </row>
    <row r="10809" spans="13:28" s="308" customFormat="1" x14ac:dyDescent="0.2">
      <c r="M10809" s="309"/>
      <c r="AB10809" s="310"/>
    </row>
    <row r="10810" spans="13:28" s="308" customFormat="1" x14ac:dyDescent="0.2">
      <c r="M10810" s="309"/>
      <c r="AB10810" s="310"/>
    </row>
    <row r="10811" spans="13:28" s="308" customFormat="1" x14ac:dyDescent="0.2">
      <c r="M10811" s="309"/>
      <c r="AB10811" s="310"/>
    </row>
    <row r="10812" spans="13:28" s="308" customFormat="1" x14ac:dyDescent="0.2">
      <c r="M10812" s="309"/>
      <c r="AB10812" s="310"/>
    </row>
    <row r="10813" spans="13:28" s="308" customFormat="1" x14ac:dyDescent="0.2">
      <c r="M10813" s="309"/>
      <c r="AB10813" s="310"/>
    </row>
    <row r="10814" spans="13:28" s="308" customFormat="1" x14ac:dyDescent="0.2">
      <c r="M10814" s="309"/>
      <c r="AB10814" s="310"/>
    </row>
    <row r="10815" spans="13:28" s="308" customFormat="1" x14ac:dyDescent="0.2">
      <c r="M10815" s="309"/>
      <c r="AB10815" s="310"/>
    </row>
    <row r="10816" spans="13:28" s="308" customFormat="1" x14ac:dyDescent="0.2">
      <c r="M10816" s="309"/>
      <c r="AB10816" s="310"/>
    </row>
    <row r="10817" spans="13:28" s="308" customFormat="1" x14ac:dyDescent="0.2">
      <c r="M10817" s="309"/>
      <c r="AB10817" s="310"/>
    </row>
    <row r="10818" spans="13:28" s="308" customFormat="1" x14ac:dyDescent="0.2">
      <c r="M10818" s="309"/>
      <c r="AB10818" s="310"/>
    </row>
    <row r="10819" spans="13:28" s="308" customFormat="1" x14ac:dyDescent="0.2">
      <c r="M10819" s="309"/>
      <c r="AB10819" s="310"/>
    </row>
    <row r="10820" spans="13:28" s="308" customFormat="1" x14ac:dyDescent="0.2">
      <c r="M10820" s="309"/>
      <c r="AB10820" s="310"/>
    </row>
    <row r="10821" spans="13:28" s="308" customFormat="1" x14ac:dyDescent="0.2">
      <c r="M10821" s="309"/>
      <c r="AB10821" s="310"/>
    </row>
    <row r="10822" spans="13:28" s="308" customFormat="1" x14ac:dyDescent="0.2">
      <c r="M10822" s="309"/>
      <c r="AB10822" s="310"/>
    </row>
    <row r="10823" spans="13:28" s="308" customFormat="1" x14ac:dyDescent="0.2">
      <c r="M10823" s="309"/>
      <c r="AB10823" s="310"/>
    </row>
    <row r="10824" spans="13:28" s="308" customFormat="1" x14ac:dyDescent="0.2">
      <c r="M10824" s="309"/>
      <c r="AB10824" s="310"/>
    </row>
    <row r="10825" spans="13:28" s="308" customFormat="1" x14ac:dyDescent="0.2">
      <c r="M10825" s="309"/>
      <c r="AB10825" s="310"/>
    </row>
    <row r="10826" spans="13:28" s="308" customFormat="1" x14ac:dyDescent="0.2">
      <c r="M10826" s="309"/>
      <c r="AB10826" s="310"/>
    </row>
    <row r="10827" spans="13:28" s="308" customFormat="1" x14ac:dyDescent="0.2">
      <c r="M10827" s="309"/>
      <c r="AB10827" s="310"/>
    </row>
    <row r="10828" spans="13:28" s="308" customFormat="1" x14ac:dyDescent="0.2">
      <c r="M10828" s="309"/>
      <c r="AB10828" s="310"/>
    </row>
    <row r="10829" spans="13:28" s="308" customFormat="1" x14ac:dyDescent="0.2">
      <c r="M10829" s="309"/>
      <c r="AB10829" s="310"/>
    </row>
    <row r="10830" spans="13:28" s="308" customFormat="1" x14ac:dyDescent="0.2">
      <c r="M10830" s="309"/>
      <c r="AB10830" s="310"/>
    </row>
    <row r="10831" spans="13:28" s="308" customFormat="1" x14ac:dyDescent="0.2">
      <c r="M10831" s="309"/>
      <c r="AB10831" s="310"/>
    </row>
    <row r="10832" spans="13:28" s="308" customFormat="1" x14ac:dyDescent="0.2">
      <c r="M10832" s="309"/>
      <c r="AB10832" s="310"/>
    </row>
    <row r="10833" spans="13:28" s="308" customFormat="1" x14ac:dyDescent="0.2">
      <c r="M10833" s="309"/>
      <c r="AB10833" s="310"/>
    </row>
    <row r="10834" spans="13:28" s="308" customFormat="1" x14ac:dyDescent="0.2">
      <c r="M10834" s="309"/>
      <c r="AB10834" s="310"/>
    </row>
    <row r="10835" spans="13:28" s="308" customFormat="1" x14ac:dyDescent="0.2">
      <c r="M10835" s="309"/>
      <c r="AB10835" s="310"/>
    </row>
    <row r="10836" spans="13:28" s="308" customFormat="1" x14ac:dyDescent="0.2">
      <c r="M10836" s="309"/>
      <c r="AB10836" s="310"/>
    </row>
    <row r="10837" spans="13:28" s="308" customFormat="1" x14ac:dyDescent="0.2">
      <c r="M10837" s="309"/>
      <c r="AB10837" s="310"/>
    </row>
    <row r="10838" spans="13:28" s="308" customFormat="1" x14ac:dyDescent="0.2">
      <c r="M10838" s="309"/>
      <c r="AB10838" s="310"/>
    </row>
    <row r="10839" spans="13:28" s="308" customFormat="1" x14ac:dyDescent="0.2">
      <c r="M10839" s="309"/>
      <c r="AB10839" s="310"/>
    </row>
    <row r="10840" spans="13:28" s="308" customFormat="1" x14ac:dyDescent="0.2">
      <c r="M10840" s="309"/>
      <c r="AB10840" s="310"/>
    </row>
    <row r="10841" spans="13:28" s="308" customFormat="1" x14ac:dyDescent="0.2">
      <c r="M10841" s="309"/>
      <c r="AB10841" s="310"/>
    </row>
    <row r="10842" spans="13:28" s="308" customFormat="1" x14ac:dyDescent="0.2">
      <c r="M10842" s="309"/>
      <c r="AB10842" s="310"/>
    </row>
    <row r="10843" spans="13:28" s="308" customFormat="1" x14ac:dyDescent="0.2">
      <c r="M10843" s="309"/>
      <c r="AB10843" s="310"/>
    </row>
    <row r="10844" spans="13:28" s="308" customFormat="1" x14ac:dyDescent="0.2">
      <c r="M10844" s="309"/>
      <c r="AB10844" s="310"/>
    </row>
    <row r="10845" spans="13:28" s="308" customFormat="1" x14ac:dyDescent="0.2">
      <c r="M10845" s="309"/>
      <c r="AB10845" s="310"/>
    </row>
    <row r="10846" spans="13:28" s="308" customFormat="1" x14ac:dyDescent="0.2">
      <c r="M10846" s="309"/>
      <c r="AB10846" s="310"/>
    </row>
    <row r="10847" spans="13:28" s="308" customFormat="1" x14ac:dyDescent="0.2">
      <c r="M10847" s="309"/>
      <c r="AB10847" s="310"/>
    </row>
    <row r="10848" spans="13:28" s="308" customFormat="1" x14ac:dyDescent="0.2">
      <c r="M10848" s="309"/>
      <c r="AB10848" s="310"/>
    </row>
    <row r="10849" spans="13:28" s="308" customFormat="1" x14ac:dyDescent="0.2">
      <c r="M10849" s="309"/>
      <c r="AB10849" s="310"/>
    </row>
    <row r="10850" spans="13:28" s="308" customFormat="1" x14ac:dyDescent="0.2">
      <c r="M10850" s="309"/>
      <c r="AB10850" s="310"/>
    </row>
    <row r="10851" spans="13:28" s="308" customFormat="1" x14ac:dyDescent="0.2">
      <c r="M10851" s="309"/>
      <c r="AB10851" s="310"/>
    </row>
    <row r="10852" spans="13:28" s="308" customFormat="1" x14ac:dyDescent="0.2">
      <c r="M10852" s="309"/>
      <c r="AB10852" s="310"/>
    </row>
    <row r="10853" spans="13:28" s="308" customFormat="1" x14ac:dyDescent="0.2">
      <c r="M10853" s="309"/>
      <c r="AB10853" s="310"/>
    </row>
    <row r="10854" spans="13:28" s="308" customFormat="1" x14ac:dyDescent="0.2">
      <c r="M10854" s="309"/>
      <c r="AB10854" s="310"/>
    </row>
    <row r="10855" spans="13:28" s="308" customFormat="1" x14ac:dyDescent="0.2">
      <c r="M10855" s="309"/>
      <c r="AB10855" s="310"/>
    </row>
    <row r="10856" spans="13:28" s="308" customFormat="1" x14ac:dyDescent="0.2">
      <c r="M10856" s="309"/>
      <c r="AB10856" s="310"/>
    </row>
    <row r="10857" spans="13:28" s="308" customFormat="1" x14ac:dyDescent="0.2">
      <c r="M10857" s="309"/>
      <c r="AB10857" s="310"/>
    </row>
    <row r="10858" spans="13:28" s="308" customFormat="1" x14ac:dyDescent="0.2">
      <c r="M10858" s="309"/>
      <c r="AB10858" s="310"/>
    </row>
    <row r="10859" spans="13:28" s="308" customFormat="1" x14ac:dyDescent="0.2">
      <c r="M10859" s="309"/>
      <c r="AB10859" s="310"/>
    </row>
    <row r="10860" spans="13:28" s="308" customFormat="1" x14ac:dyDescent="0.2">
      <c r="M10860" s="309"/>
      <c r="AB10860" s="310"/>
    </row>
    <row r="10861" spans="13:28" s="308" customFormat="1" x14ac:dyDescent="0.2">
      <c r="M10861" s="309"/>
      <c r="AB10861" s="310"/>
    </row>
    <row r="10862" spans="13:28" s="308" customFormat="1" x14ac:dyDescent="0.2">
      <c r="M10862" s="309"/>
      <c r="AB10862" s="310"/>
    </row>
    <row r="10863" spans="13:28" s="308" customFormat="1" x14ac:dyDescent="0.2">
      <c r="M10863" s="309"/>
      <c r="AB10863" s="310"/>
    </row>
    <row r="10864" spans="13:28" s="308" customFormat="1" x14ac:dyDescent="0.2">
      <c r="M10864" s="309"/>
      <c r="AB10864" s="310"/>
    </row>
    <row r="10865" spans="13:28" s="308" customFormat="1" x14ac:dyDescent="0.2">
      <c r="M10865" s="309"/>
      <c r="AB10865" s="310"/>
    </row>
    <row r="10866" spans="13:28" s="308" customFormat="1" x14ac:dyDescent="0.2">
      <c r="M10866" s="309"/>
      <c r="AB10866" s="310"/>
    </row>
    <row r="10867" spans="13:28" s="308" customFormat="1" x14ac:dyDescent="0.2">
      <c r="M10867" s="309"/>
      <c r="AB10867" s="310"/>
    </row>
    <row r="10868" spans="13:28" s="308" customFormat="1" x14ac:dyDescent="0.2">
      <c r="M10868" s="309"/>
      <c r="AB10868" s="310"/>
    </row>
    <row r="10869" spans="13:28" s="308" customFormat="1" x14ac:dyDescent="0.2">
      <c r="M10869" s="309"/>
      <c r="AB10869" s="310"/>
    </row>
    <row r="10870" spans="13:28" s="308" customFormat="1" x14ac:dyDescent="0.2">
      <c r="M10870" s="309"/>
      <c r="AB10870" s="310"/>
    </row>
    <row r="10871" spans="13:28" s="308" customFormat="1" x14ac:dyDescent="0.2">
      <c r="M10871" s="309"/>
      <c r="AB10871" s="310"/>
    </row>
    <row r="10872" spans="13:28" s="308" customFormat="1" x14ac:dyDescent="0.2">
      <c r="M10872" s="309"/>
      <c r="AB10872" s="310"/>
    </row>
    <row r="10873" spans="13:28" s="308" customFormat="1" x14ac:dyDescent="0.2">
      <c r="M10873" s="309"/>
      <c r="AB10873" s="310"/>
    </row>
    <row r="10874" spans="13:28" s="308" customFormat="1" x14ac:dyDescent="0.2">
      <c r="M10874" s="309"/>
      <c r="AB10874" s="310"/>
    </row>
    <row r="10875" spans="13:28" s="308" customFormat="1" x14ac:dyDescent="0.2">
      <c r="M10875" s="309"/>
      <c r="AB10875" s="310"/>
    </row>
    <row r="10876" spans="13:28" s="308" customFormat="1" x14ac:dyDescent="0.2">
      <c r="M10876" s="309"/>
      <c r="AB10876" s="310"/>
    </row>
    <row r="10877" spans="13:28" s="308" customFormat="1" x14ac:dyDescent="0.2">
      <c r="M10877" s="309"/>
      <c r="AB10877" s="310"/>
    </row>
    <row r="10878" spans="13:28" s="308" customFormat="1" x14ac:dyDescent="0.2">
      <c r="M10878" s="309"/>
      <c r="AB10878" s="310"/>
    </row>
    <row r="10879" spans="13:28" s="308" customFormat="1" x14ac:dyDescent="0.2">
      <c r="M10879" s="309"/>
      <c r="AB10879" s="310"/>
    </row>
    <row r="10880" spans="13:28" s="308" customFormat="1" x14ac:dyDescent="0.2">
      <c r="M10880" s="309"/>
      <c r="AB10880" s="310"/>
    </row>
    <row r="10881" spans="13:28" s="308" customFormat="1" x14ac:dyDescent="0.2">
      <c r="M10881" s="309"/>
      <c r="AB10881" s="310"/>
    </row>
    <row r="10882" spans="13:28" s="308" customFormat="1" x14ac:dyDescent="0.2">
      <c r="M10882" s="309"/>
      <c r="AB10882" s="310"/>
    </row>
    <row r="10883" spans="13:28" s="308" customFormat="1" x14ac:dyDescent="0.2">
      <c r="M10883" s="309"/>
      <c r="AB10883" s="310"/>
    </row>
    <row r="10884" spans="13:28" s="308" customFormat="1" x14ac:dyDescent="0.2">
      <c r="M10884" s="309"/>
      <c r="AB10884" s="310"/>
    </row>
    <row r="10885" spans="13:28" s="308" customFormat="1" x14ac:dyDescent="0.2">
      <c r="M10885" s="309"/>
      <c r="AB10885" s="310"/>
    </row>
    <row r="10886" spans="13:28" s="308" customFormat="1" x14ac:dyDescent="0.2">
      <c r="M10886" s="309"/>
      <c r="AB10886" s="310"/>
    </row>
    <row r="10887" spans="13:28" s="308" customFormat="1" x14ac:dyDescent="0.2">
      <c r="M10887" s="309"/>
      <c r="AB10887" s="310"/>
    </row>
    <row r="10888" spans="13:28" s="308" customFormat="1" x14ac:dyDescent="0.2">
      <c r="M10888" s="309"/>
      <c r="AB10888" s="310"/>
    </row>
    <row r="10889" spans="13:28" s="308" customFormat="1" x14ac:dyDescent="0.2">
      <c r="M10889" s="309"/>
      <c r="AB10889" s="310"/>
    </row>
    <row r="10890" spans="13:28" s="308" customFormat="1" x14ac:dyDescent="0.2">
      <c r="M10890" s="309"/>
      <c r="AB10890" s="310"/>
    </row>
    <row r="10891" spans="13:28" s="308" customFormat="1" x14ac:dyDescent="0.2">
      <c r="M10891" s="309"/>
      <c r="AB10891" s="310"/>
    </row>
    <row r="10892" spans="13:28" s="308" customFormat="1" x14ac:dyDescent="0.2">
      <c r="M10892" s="309"/>
      <c r="AB10892" s="310"/>
    </row>
    <row r="10893" spans="13:28" s="308" customFormat="1" x14ac:dyDescent="0.2">
      <c r="M10893" s="309"/>
      <c r="AB10893" s="310"/>
    </row>
    <row r="10894" spans="13:28" s="308" customFormat="1" x14ac:dyDescent="0.2">
      <c r="M10894" s="309"/>
      <c r="AB10894" s="310"/>
    </row>
    <row r="10895" spans="13:28" s="308" customFormat="1" x14ac:dyDescent="0.2">
      <c r="M10895" s="309"/>
      <c r="AB10895" s="310"/>
    </row>
    <row r="10896" spans="13:28" s="308" customFormat="1" x14ac:dyDescent="0.2">
      <c r="M10896" s="309"/>
      <c r="AB10896" s="310"/>
    </row>
    <row r="10897" spans="13:28" s="308" customFormat="1" x14ac:dyDescent="0.2">
      <c r="M10897" s="309"/>
      <c r="AB10897" s="310"/>
    </row>
    <row r="10898" spans="13:28" s="308" customFormat="1" x14ac:dyDescent="0.2">
      <c r="M10898" s="309"/>
      <c r="AB10898" s="310"/>
    </row>
    <row r="10899" spans="13:28" s="308" customFormat="1" x14ac:dyDescent="0.2">
      <c r="M10899" s="309"/>
      <c r="AB10899" s="310"/>
    </row>
    <row r="10900" spans="13:28" s="308" customFormat="1" x14ac:dyDescent="0.2">
      <c r="M10900" s="309"/>
      <c r="AB10900" s="310"/>
    </row>
    <row r="10901" spans="13:28" s="308" customFormat="1" x14ac:dyDescent="0.2">
      <c r="M10901" s="309"/>
      <c r="AB10901" s="310"/>
    </row>
    <row r="10902" spans="13:28" s="308" customFormat="1" x14ac:dyDescent="0.2">
      <c r="M10902" s="309"/>
      <c r="AB10902" s="310"/>
    </row>
    <row r="10903" spans="13:28" s="308" customFormat="1" x14ac:dyDescent="0.2">
      <c r="M10903" s="309"/>
      <c r="AB10903" s="310"/>
    </row>
    <row r="10904" spans="13:28" s="308" customFormat="1" x14ac:dyDescent="0.2">
      <c r="M10904" s="309"/>
      <c r="AB10904" s="310"/>
    </row>
    <row r="10905" spans="13:28" s="308" customFormat="1" x14ac:dyDescent="0.2">
      <c r="M10905" s="309"/>
      <c r="AB10905" s="310"/>
    </row>
    <row r="10906" spans="13:28" s="308" customFormat="1" x14ac:dyDescent="0.2">
      <c r="M10906" s="309"/>
      <c r="AB10906" s="310"/>
    </row>
    <row r="10907" spans="13:28" s="308" customFormat="1" x14ac:dyDescent="0.2">
      <c r="M10907" s="309"/>
      <c r="AB10907" s="310"/>
    </row>
    <row r="10908" spans="13:28" s="308" customFormat="1" x14ac:dyDescent="0.2">
      <c r="M10908" s="309"/>
      <c r="AB10908" s="310"/>
    </row>
    <row r="10909" spans="13:28" s="308" customFormat="1" x14ac:dyDescent="0.2">
      <c r="M10909" s="309"/>
      <c r="AB10909" s="310"/>
    </row>
    <row r="10910" spans="13:28" s="308" customFormat="1" x14ac:dyDescent="0.2">
      <c r="M10910" s="309"/>
      <c r="AB10910" s="310"/>
    </row>
    <row r="10911" spans="13:28" s="308" customFormat="1" x14ac:dyDescent="0.2">
      <c r="M10911" s="309"/>
      <c r="AB10911" s="310"/>
    </row>
    <row r="10912" spans="13:28" s="308" customFormat="1" x14ac:dyDescent="0.2">
      <c r="M10912" s="309"/>
      <c r="AB10912" s="310"/>
    </row>
    <row r="10913" spans="13:28" s="308" customFormat="1" x14ac:dyDescent="0.2">
      <c r="M10913" s="309"/>
      <c r="AB10913" s="310"/>
    </row>
    <row r="10914" spans="13:28" s="308" customFormat="1" x14ac:dyDescent="0.2">
      <c r="M10914" s="309"/>
      <c r="AB10914" s="310"/>
    </row>
    <row r="10915" spans="13:28" s="308" customFormat="1" x14ac:dyDescent="0.2">
      <c r="M10915" s="309"/>
      <c r="AB10915" s="310"/>
    </row>
    <row r="10916" spans="13:28" s="308" customFormat="1" x14ac:dyDescent="0.2">
      <c r="M10916" s="309"/>
      <c r="AB10916" s="310"/>
    </row>
    <row r="10917" spans="13:28" s="308" customFormat="1" x14ac:dyDescent="0.2">
      <c r="M10917" s="309"/>
      <c r="AB10917" s="310"/>
    </row>
    <row r="10918" spans="13:28" s="308" customFormat="1" x14ac:dyDescent="0.2">
      <c r="M10918" s="309"/>
      <c r="AB10918" s="310"/>
    </row>
    <row r="10919" spans="13:28" s="308" customFormat="1" x14ac:dyDescent="0.2">
      <c r="M10919" s="309"/>
      <c r="AB10919" s="310"/>
    </row>
    <row r="10920" spans="13:28" s="308" customFormat="1" x14ac:dyDescent="0.2">
      <c r="M10920" s="309"/>
      <c r="AB10920" s="310"/>
    </row>
    <row r="10921" spans="13:28" s="308" customFormat="1" x14ac:dyDescent="0.2">
      <c r="M10921" s="309"/>
      <c r="AB10921" s="310"/>
    </row>
    <row r="10922" spans="13:28" s="308" customFormat="1" x14ac:dyDescent="0.2">
      <c r="M10922" s="309"/>
      <c r="AB10922" s="310"/>
    </row>
    <row r="10923" spans="13:28" s="308" customFormat="1" x14ac:dyDescent="0.2">
      <c r="M10923" s="309"/>
      <c r="AB10923" s="310"/>
    </row>
    <row r="10924" spans="13:28" s="308" customFormat="1" x14ac:dyDescent="0.2">
      <c r="M10924" s="309"/>
      <c r="AB10924" s="310"/>
    </row>
    <row r="10925" spans="13:28" s="308" customFormat="1" x14ac:dyDescent="0.2">
      <c r="M10925" s="309"/>
      <c r="AB10925" s="310"/>
    </row>
    <row r="10926" spans="13:28" s="308" customFormat="1" x14ac:dyDescent="0.2">
      <c r="M10926" s="309"/>
      <c r="AB10926" s="310"/>
    </row>
    <row r="10927" spans="13:28" s="308" customFormat="1" x14ac:dyDescent="0.2">
      <c r="M10927" s="309"/>
      <c r="AB10927" s="310"/>
    </row>
    <row r="10928" spans="13:28" s="308" customFormat="1" x14ac:dyDescent="0.2">
      <c r="M10928" s="309"/>
      <c r="AB10928" s="310"/>
    </row>
    <row r="10929" spans="13:28" s="308" customFormat="1" x14ac:dyDescent="0.2">
      <c r="M10929" s="309"/>
      <c r="AB10929" s="310"/>
    </row>
    <row r="10930" spans="13:28" s="308" customFormat="1" x14ac:dyDescent="0.2">
      <c r="M10930" s="309"/>
      <c r="AB10930" s="310"/>
    </row>
    <row r="10931" spans="13:28" s="308" customFormat="1" x14ac:dyDescent="0.2">
      <c r="M10931" s="309"/>
      <c r="AB10931" s="310"/>
    </row>
    <row r="10932" spans="13:28" s="308" customFormat="1" x14ac:dyDescent="0.2">
      <c r="M10932" s="309"/>
      <c r="AB10932" s="310"/>
    </row>
    <row r="10933" spans="13:28" s="308" customFormat="1" x14ac:dyDescent="0.2">
      <c r="M10933" s="309"/>
      <c r="AB10933" s="310"/>
    </row>
    <row r="10934" spans="13:28" s="308" customFormat="1" x14ac:dyDescent="0.2">
      <c r="M10934" s="309"/>
      <c r="AB10934" s="310"/>
    </row>
    <row r="10935" spans="13:28" s="308" customFormat="1" x14ac:dyDescent="0.2">
      <c r="M10935" s="309"/>
      <c r="AB10935" s="310"/>
    </row>
    <row r="10936" spans="13:28" s="308" customFormat="1" x14ac:dyDescent="0.2">
      <c r="M10936" s="309"/>
      <c r="AB10936" s="310"/>
    </row>
    <row r="10937" spans="13:28" s="308" customFormat="1" x14ac:dyDescent="0.2">
      <c r="M10937" s="309"/>
      <c r="AB10937" s="310"/>
    </row>
    <row r="10938" spans="13:28" s="308" customFormat="1" x14ac:dyDescent="0.2">
      <c r="M10938" s="309"/>
      <c r="AB10938" s="310"/>
    </row>
    <row r="10939" spans="13:28" s="308" customFormat="1" x14ac:dyDescent="0.2">
      <c r="M10939" s="309"/>
      <c r="AB10939" s="310"/>
    </row>
    <row r="10940" spans="13:28" s="308" customFormat="1" x14ac:dyDescent="0.2">
      <c r="M10940" s="309"/>
      <c r="AB10940" s="310"/>
    </row>
    <row r="10941" spans="13:28" s="308" customFormat="1" x14ac:dyDescent="0.2">
      <c r="M10941" s="309"/>
      <c r="AB10941" s="310"/>
    </row>
    <row r="10942" spans="13:28" s="308" customFormat="1" x14ac:dyDescent="0.2">
      <c r="M10942" s="309"/>
      <c r="AB10942" s="310"/>
    </row>
    <row r="10943" spans="13:28" s="308" customFormat="1" x14ac:dyDescent="0.2">
      <c r="M10943" s="309"/>
      <c r="AB10943" s="310"/>
    </row>
    <row r="10944" spans="13:28" s="308" customFormat="1" x14ac:dyDescent="0.2">
      <c r="M10944" s="309"/>
      <c r="AB10944" s="310"/>
    </row>
    <row r="10945" spans="13:28" s="308" customFormat="1" x14ac:dyDescent="0.2">
      <c r="M10945" s="309"/>
      <c r="AB10945" s="310"/>
    </row>
    <row r="10946" spans="13:28" s="308" customFormat="1" x14ac:dyDescent="0.2">
      <c r="M10946" s="309"/>
      <c r="AB10946" s="310"/>
    </row>
    <row r="10947" spans="13:28" s="308" customFormat="1" x14ac:dyDescent="0.2">
      <c r="M10947" s="309"/>
      <c r="AB10947" s="310"/>
    </row>
    <row r="10948" spans="13:28" s="308" customFormat="1" x14ac:dyDescent="0.2">
      <c r="M10948" s="309"/>
      <c r="AB10948" s="310"/>
    </row>
    <row r="10949" spans="13:28" s="308" customFormat="1" x14ac:dyDescent="0.2">
      <c r="M10949" s="309"/>
      <c r="AB10949" s="310"/>
    </row>
    <row r="10950" spans="13:28" s="308" customFormat="1" x14ac:dyDescent="0.2">
      <c r="M10950" s="309"/>
      <c r="AB10950" s="310"/>
    </row>
    <row r="10951" spans="13:28" s="308" customFormat="1" x14ac:dyDescent="0.2">
      <c r="M10951" s="309"/>
      <c r="AB10951" s="310"/>
    </row>
    <row r="10952" spans="13:28" s="308" customFormat="1" x14ac:dyDescent="0.2">
      <c r="M10952" s="309"/>
      <c r="AB10952" s="310"/>
    </row>
    <row r="10953" spans="13:28" s="308" customFormat="1" x14ac:dyDescent="0.2">
      <c r="M10953" s="309"/>
      <c r="AB10953" s="310"/>
    </row>
    <row r="10954" spans="13:28" s="308" customFormat="1" x14ac:dyDescent="0.2">
      <c r="M10954" s="309"/>
      <c r="AB10954" s="310"/>
    </row>
    <row r="10955" spans="13:28" s="308" customFormat="1" x14ac:dyDescent="0.2">
      <c r="M10955" s="309"/>
      <c r="AB10955" s="310"/>
    </row>
    <row r="10956" spans="13:28" s="308" customFormat="1" x14ac:dyDescent="0.2">
      <c r="M10956" s="309"/>
      <c r="AB10956" s="310"/>
    </row>
    <row r="10957" spans="13:28" s="308" customFormat="1" x14ac:dyDescent="0.2">
      <c r="M10957" s="309"/>
      <c r="AB10957" s="310"/>
    </row>
    <row r="10958" spans="13:28" s="308" customFormat="1" x14ac:dyDescent="0.2">
      <c r="M10958" s="309"/>
      <c r="AB10958" s="310"/>
    </row>
    <row r="10959" spans="13:28" s="308" customFormat="1" x14ac:dyDescent="0.2">
      <c r="M10959" s="309"/>
      <c r="AB10959" s="310"/>
    </row>
    <row r="10960" spans="13:28" s="308" customFormat="1" x14ac:dyDescent="0.2">
      <c r="M10960" s="309"/>
      <c r="AB10960" s="310"/>
    </row>
    <row r="10961" spans="13:28" s="308" customFormat="1" x14ac:dyDescent="0.2">
      <c r="M10961" s="309"/>
      <c r="AB10961" s="310"/>
    </row>
    <row r="10962" spans="13:28" s="308" customFormat="1" x14ac:dyDescent="0.2">
      <c r="M10962" s="309"/>
      <c r="AB10962" s="310"/>
    </row>
    <row r="10963" spans="13:28" s="308" customFormat="1" x14ac:dyDescent="0.2">
      <c r="M10963" s="309"/>
      <c r="AB10963" s="310"/>
    </row>
    <row r="10964" spans="13:28" s="308" customFormat="1" x14ac:dyDescent="0.2">
      <c r="M10964" s="309"/>
      <c r="AB10964" s="310"/>
    </row>
    <row r="10965" spans="13:28" s="308" customFormat="1" x14ac:dyDescent="0.2">
      <c r="M10965" s="309"/>
      <c r="AB10965" s="310"/>
    </row>
    <row r="10966" spans="13:28" s="308" customFormat="1" x14ac:dyDescent="0.2">
      <c r="M10966" s="309"/>
      <c r="AB10966" s="310"/>
    </row>
    <row r="10967" spans="13:28" s="308" customFormat="1" x14ac:dyDescent="0.2">
      <c r="M10967" s="309"/>
      <c r="AB10967" s="310"/>
    </row>
    <row r="10968" spans="13:28" s="308" customFormat="1" x14ac:dyDescent="0.2">
      <c r="M10968" s="309"/>
      <c r="AB10968" s="310"/>
    </row>
    <row r="10969" spans="13:28" s="308" customFormat="1" x14ac:dyDescent="0.2">
      <c r="M10969" s="309"/>
      <c r="AB10969" s="310"/>
    </row>
    <row r="10970" spans="13:28" s="308" customFormat="1" x14ac:dyDescent="0.2">
      <c r="M10970" s="309"/>
      <c r="AB10970" s="310"/>
    </row>
    <row r="10971" spans="13:28" s="308" customFormat="1" x14ac:dyDescent="0.2">
      <c r="M10971" s="309"/>
      <c r="AB10971" s="310"/>
    </row>
    <row r="10972" spans="13:28" s="308" customFormat="1" x14ac:dyDescent="0.2">
      <c r="M10972" s="309"/>
      <c r="AB10972" s="310"/>
    </row>
    <row r="10973" spans="13:28" s="308" customFormat="1" x14ac:dyDescent="0.2">
      <c r="M10973" s="309"/>
      <c r="AB10973" s="310"/>
    </row>
    <row r="10974" spans="13:28" s="308" customFormat="1" x14ac:dyDescent="0.2">
      <c r="M10974" s="309"/>
      <c r="AB10974" s="310"/>
    </row>
    <row r="10975" spans="13:28" s="308" customFormat="1" x14ac:dyDescent="0.2">
      <c r="M10975" s="309"/>
      <c r="AB10975" s="310"/>
    </row>
    <row r="10976" spans="13:28" s="308" customFormat="1" x14ac:dyDescent="0.2">
      <c r="M10976" s="309"/>
      <c r="AB10976" s="310"/>
    </row>
    <row r="10977" spans="13:28" s="308" customFormat="1" x14ac:dyDescent="0.2">
      <c r="M10977" s="309"/>
      <c r="AB10977" s="310"/>
    </row>
    <row r="10978" spans="13:28" s="308" customFormat="1" x14ac:dyDescent="0.2">
      <c r="M10978" s="309"/>
      <c r="AB10978" s="310"/>
    </row>
    <row r="10979" spans="13:28" s="308" customFormat="1" x14ac:dyDescent="0.2">
      <c r="M10979" s="309"/>
      <c r="AB10979" s="310"/>
    </row>
    <row r="10980" spans="13:28" s="308" customFormat="1" x14ac:dyDescent="0.2">
      <c r="M10980" s="309"/>
      <c r="AB10980" s="310"/>
    </row>
    <row r="10981" spans="13:28" s="308" customFormat="1" x14ac:dyDescent="0.2">
      <c r="M10981" s="309"/>
      <c r="AB10981" s="310"/>
    </row>
    <row r="10982" spans="13:28" s="308" customFormat="1" x14ac:dyDescent="0.2">
      <c r="M10982" s="309"/>
      <c r="AB10982" s="310"/>
    </row>
    <row r="10983" spans="13:28" s="308" customFormat="1" x14ac:dyDescent="0.2">
      <c r="M10983" s="309"/>
      <c r="AB10983" s="310"/>
    </row>
    <row r="10984" spans="13:28" s="308" customFormat="1" x14ac:dyDescent="0.2">
      <c r="M10984" s="309"/>
      <c r="AB10984" s="310"/>
    </row>
    <row r="10985" spans="13:28" s="308" customFormat="1" x14ac:dyDescent="0.2">
      <c r="M10985" s="309"/>
      <c r="AB10985" s="310"/>
    </row>
    <row r="10986" spans="13:28" s="308" customFormat="1" x14ac:dyDescent="0.2">
      <c r="M10986" s="309"/>
      <c r="AB10986" s="310"/>
    </row>
    <row r="10987" spans="13:28" s="308" customFormat="1" x14ac:dyDescent="0.2">
      <c r="M10987" s="309"/>
      <c r="AB10987" s="310"/>
    </row>
    <row r="10988" spans="13:28" s="308" customFormat="1" x14ac:dyDescent="0.2">
      <c r="M10988" s="309"/>
      <c r="AB10988" s="310"/>
    </row>
    <row r="10989" spans="13:28" s="308" customFormat="1" x14ac:dyDescent="0.2">
      <c r="M10989" s="309"/>
      <c r="AB10989" s="310"/>
    </row>
    <row r="10990" spans="13:28" s="308" customFormat="1" x14ac:dyDescent="0.2">
      <c r="M10990" s="309"/>
      <c r="AB10990" s="310"/>
    </row>
    <row r="10991" spans="13:28" s="308" customFormat="1" x14ac:dyDescent="0.2">
      <c r="M10991" s="309"/>
      <c r="AB10991" s="310"/>
    </row>
    <row r="10992" spans="13:28" s="308" customFormat="1" x14ac:dyDescent="0.2">
      <c r="M10992" s="309"/>
      <c r="AB10992" s="310"/>
    </row>
    <row r="10993" spans="13:28" s="308" customFormat="1" x14ac:dyDescent="0.2">
      <c r="M10993" s="309"/>
      <c r="AB10993" s="310"/>
    </row>
    <row r="10994" spans="13:28" s="308" customFormat="1" x14ac:dyDescent="0.2">
      <c r="M10994" s="309"/>
      <c r="AB10994" s="310"/>
    </row>
    <row r="10995" spans="13:28" s="308" customFormat="1" x14ac:dyDescent="0.2">
      <c r="M10995" s="309"/>
      <c r="AB10995" s="310"/>
    </row>
    <row r="10996" spans="13:28" s="308" customFormat="1" x14ac:dyDescent="0.2">
      <c r="M10996" s="309"/>
      <c r="AB10996" s="310"/>
    </row>
    <row r="10997" spans="13:28" s="308" customFormat="1" x14ac:dyDescent="0.2">
      <c r="M10997" s="309"/>
      <c r="AB10997" s="310"/>
    </row>
    <row r="10998" spans="13:28" s="308" customFormat="1" x14ac:dyDescent="0.2">
      <c r="M10998" s="309"/>
      <c r="AB10998" s="310"/>
    </row>
    <row r="10999" spans="13:28" s="308" customFormat="1" x14ac:dyDescent="0.2">
      <c r="M10999" s="309"/>
      <c r="AB10999" s="310"/>
    </row>
    <row r="11000" spans="13:28" s="308" customFormat="1" x14ac:dyDescent="0.2">
      <c r="M11000" s="309"/>
      <c r="AB11000" s="310"/>
    </row>
    <row r="11001" spans="13:28" s="308" customFormat="1" x14ac:dyDescent="0.2">
      <c r="M11001" s="309"/>
      <c r="AB11001" s="310"/>
    </row>
    <row r="11002" spans="13:28" s="308" customFormat="1" x14ac:dyDescent="0.2">
      <c r="M11002" s="309"/>
      <c r="AB11002" s="310"/>
    </row>
    <row r="11003" spans="13:28" s="308" customFormat="1" x14ac:dyDescent="0.2">
      <c r="M11003" s="309"/>
      <c r="AB11003" s="310"/>
    </row>
    <row r="11004" spans="13:28" s="308" customFormat="1" x14ac:dyDescent="0.2">
      <c r="M11004" s="309"/>
      <c r="AB11004" s="310"/>
    </row>
    <row r="11005" spans="13:28" s="308" customFormat="1" x14ac:dyDescent="0.2">
      <c r="M11005" s="309"/>
      <c r="AB11005" s="310"/>
    </row>
    <row r="11006" spans="13:28" s="308" customFormat="1" x14ac:dyDescent="0.2">
      <c r="M11006" s="309"/>
      <c r="AB11006" s="310"/>
    </row>
    <row r="11007" spans="13:28" s="308" customFormat="1" x14ac:dyDescent="0.2">
      <c r="M11007" s="309"/>
      <c r="AB11007" s="310"/>
    </row>
    <row r="11008" spans="13:28" s="308" customFormat="1" x14ac:dyDescent="0.2">
      <c r="M11008" s="309"/>
      <c r="AB11008" s="310"/>
    </row>
    <row r="11009" spans="13:28" s="308" customFormat="1" x14ac:dyDescent="0.2">
      <c r="M11009" s="309"/>
      <c r="AB11009" s="310"/>
    </row>
    <row r="11010" spans="13:28" s="308" customFormat="1" x14ac:dyDescent="0.2">
      <c r="M11010" s="309"/>
      <c r="AB11010" s="310"/>
    </row>
    <row r="11011" spans="13:28" s="308" customFormat="1" x14ac:dyDescent="0.2">
      <c r="M11011" s="309"/>
      <c r="AB11011" s="310"/>
    </row>
    <row r="11012" spans="13:28" s="308" customFormat="1" x14ac:dyDescent="0.2">
      <c r="M11012" s="309"/>
      <c r="AB11012" s="310"/>
    </row>
    <row r="11013" spans="13:28" s="308" customFormat="1" x14ac:dyDescent="0.2">
      <c r="M11013" s="309"/>
      <c r="AB11013" s="310"/>
    </row>
    <row r="11014" spans="13:28" s="308" customFormat="1" x14ac:dyDescent="0.2">
      <c r="M11014" s="309"/>
      <c r="AB11014" s="310"/>
    </row>
    <row r="11015" spans="13:28" s="308" customFormat="1" x14ac:dyDescent="0.2">
      <c r="M11015" s="309"/>
      <c r="AB11015" s="310"/>
    </row>
    <row r="11016" spans="13:28" s="308" customFormat="1" x14ac:dyDescent="0.2">
      <c r="M11016" s="309"/>
      <c r="AB11016" s="310"/>
    </row>
    <row r="11017" spans="13:28" s="308" customFormat="1" x14ac:dyDescent="0.2">
      <c r="M11017" s="309"/>
      <c r="AB11017" s="310"/>
    </row>
    <row r="11018" spans="13:28" s="308" customFormat="1" x14ac:dyDescent="0.2">
      <c r="M11018" s="309"/>
      <c r="AB11018" s="310"/>
    </row>
    <row r="11019" spans="13:28" s="308" customFormat="1" x14ac:dyDescent="0.2">
      <c r="M11019" s="309"/>
      <c r="AB11019" s="310"/>
    </row>
    <row r="11020" spans="13:28" s="308" customFormat="1" x14ac:dyDescent="0.2">
      <c r="M11020" s="309"/>
      <c r="AB11020" s="310"/>
    </row>
    <row r="11021" spans="13:28" s="308" customFormat="1" x14ac:dyDescent="0.2">
      <c r="M11021" s="309"/>
      <c r="AB11021" s="310"/>
    </row>
    <row r="11022" spans="13:28" s="308" customFormat="1" x14ac:dyDescent="0.2">
      <c r="M11022" s="309"/>
      <c r="AB11022" s="310"/>
    </row>
    <row r="11023" spans="13:28" s="308" customFormat="1" x14ac:dyDescent="0.2">
      <c r="M11023" s="309"/>
      <c r="AB11023" s="310"/>
    </row>
    <row r="11024" spans="13:28" s="308" customFormat="1" x14ac:dyDescent="0.2">
      <c r="M11024" s="309"/>
      <c r="AB11024" s="310"/>
    </row>
    <row r="11025" spans="13:28" s="308" customFormat="1" x14ac:dyDescent="0.2">
      <c r="M11025" s="309"/>
      <c r="AB11025" s="310"/>
    </row>
    <row r="11026" spans="13:28" s="308" customFormat="1" x14ac:dyDescent="0.2">
      <c r="M11026" s="309"/>
      <c r="AB11026" s="310"/>
    </row>
    <row r="11027" spans="13:28" s="308" customFormat="1" x14ac:dyDescent="0.2">
      <c r="M11027" s="309"/>
      <c r="AB11027" s="310"/>
    </row>
    <row r="11028" spans="13:28" s="308" customFormat="1" x14ac:dyDescent="0.2">
      <c r="M11028" s="309"/>
      <c r="AB11028" s="310"/>
    </row>
    <row r="11029" spans="13:28" s="308" customFormat="1" x14ac:dyDescent="0.2">
      <c r="M11029" s="309"/>
      <c r="AB11029" s="310"/>
    </row>
    <row r="11030" spans="13:28" s="308" customFormat="1" x14ac:dyDescent="0.2">
      <c r="M11030" s="309"/>
      <c r="AB11030" s="310"/>
    </row>
    <row r="11031" spans="13:28" s="308" customFormat="1" x14ac:dyDescent="0.2">
      <c r="M11031" s="309"/>
      <c r="AB11031" s="310"/>
    </row>
    <row r="11032" spans="13:28" s="308" customFormat="1" x14ac:dyDescent="0.2">
      <c r="M11032" s="309"/>
      <c r="AB11032" s="310"/>
    </row>
    <row r="11033" spans="13:28" s="308" customFormat="1" x14ac:dyDescent="0.2">
      <c r="M11033" s="309"/>
      <c r="AB11033" s="310"/>
    </row>
    <row r="11034" spans="13:28" s="308" customFormat="1" x14ac:dyDescent="0.2">
      <c r="M11034" s="309"/>
      <c r="AB11034" s="310"/>
    </row>
    <row r="11035" spans="13:28" s="308" customFormat="1" x14ac:dyDescent="0.2">
      <c r="M11035" s="309"/>
      <c r="AB11035" s="310"/>
    </row>
    <row r="11036" spans="13:28" s="308" customFormat="1" x14ac:dyDescent="0.2">
      <c r="M11036" s="309"/>
      <c r="AB11036" s="310"/>
    </row>
    <row r="11037" spans="13:28" s="308" customFormat="1" x14ac:dyDescent="0.2">
      <c r="M11037" s="309"/>
      <c r="AB11037" s="310"/>
    </row>
    <row r="11038" spans="13:28" s="308" customFormat="1" x14ac:dyDescent="0.2">
      <c r="M11038" s="309"/>
      <c r="AB11038" s="310"/>
    </row>
    <row r="11039" spans="13:28" s="308" customFormat="1" x14ac:dyDescent="0.2">
      <c r="M11039" s="309"/>
      <c r="AB11039" s="310"/>
    </row>
    <row r="11040" spans="13:28" s="308" customFormat="1" x14ac:dyDescent="0.2">
      <c r="M11040" s="309"/>
      <c r="AB11040" s="310"/>
    </row>
    <row r="11041" spans="13:28" s="308" customFormat="1" x14ac:dyDescent="0.2">
      <c r="M11041" s="309"/>
      <c r="AB11041" s="310"/>
    </row>
    <row r="11042" spans="13:28" s="308" customFormat="1" x14ac:dyDescent="0.2">
      <c r="M11042" s="309"/>
      <c r="AB11042" s="310"/>
    </row>
    <row r="11043" spans="13:28" s="308" customFormat="1" x14ac:dyDescent="0.2">
      <c r="M11043" s="309"/>
      <c r="AB11043" s="310"/>
    </row>
    <row r="11044" spans="13:28" s="308" customFormat="1" x14ac:dyDescent="0.2">
      <c r="M11044" s="309"/>
      <c r="AB11044" s="310"/>
    </row>
    <row r="11045" spans="13:28" s="308" customFormat="1" x14ac:dyDescent="0.2">
      <c r="M11045" s="309"/>
      <c r="AB11045" s="310"/>
    </row>
    <row r="11046" spans="13:28" s="308" customFormat="1" x14ac:dyDescent="0.2">
      <c r="M11046" s="309"/>
      <c r="AB11046" s="310"/>
    </row>
    <row r="11047" spans="13:28" s="308" customFormat="1" x14ac:dyDescent="0.2">
      <c r="M11047" s="309"/>
      <c r="AB11047" s="310"/>
    </row>
    <row r="11048" spans="13:28" s="308" customFormat="1" x14ac:dyDescent="0.2">
      <c r="M11048" s="309"/>
      <c r="AB11048" s="310"/>
    </row>
    <row r="11049" spans="13:28" s="308" customFormat="1" x14ac:dyDescent="0.2">
      <c r="M11049" s="309"/>
      <c r="AB11049" s="310"/>
    </row>
    <row r="11050" spans="13:28" s="308" customFormat="1" x14ac:dyDescent="0.2">
      <c r="M11050" s="309"/>
      <c r="AB11050" s="310"/>
    </row>
    <row r="11051" spans="13:28" s="308" customFormat="1" x14ac:dyDescent="0.2">
      <c r="M11051" s="309"/>
      <c r="AB11051" s="310"/>
    </row>
    <row r="11052" spans="13:28" s="308" customFormat="1" x14ac:dyDescent="0.2">
      <c r="M11052" s="309"/>
      <c r="AB11052" s="310"/>
    </row>
    <row r="11053" spans="13:28" s="308" customFormat="1" x14ac:dyDescent="0.2">
      <c r="M11053" s="309"/>
      <c r="AB11053" s="310"/>
    </row>
    <row r="11054" spans="13:28" s="308" customFormat="1" x14ac:dyDescent="0.2">
      <c r="M11054" s="309"/>
      <c r="AB11054" s="310"/>
    </row>
    <row r="11055" spans="13:28" s="308" customFormat="1" x14ac:dyDescent="0.2">
      <c r="M11055" s="309"/>
      <c r="AB11055" s="310"/>
    </row>
    <row r="11056" spans="13:28" s="308" customFormat="1" x14ac:dyDescent="0.2">
      <c r="M11056" s="309"/>
      <c r="AB11056" s="310"/>
    </row>
    <row r="11057" spans="13:28" s="308" customFormat="1" x14ac:dyDescent="0.2">
      <c r="M11057" s="309"/>
      <c r="AB11057" s="310"/>
    </row>
    <row r="11058" spans="13:28" s="308" customFormat="1" x14ac:dyDescent="0.2">
      <c r="M11058" s="309"/>
      <c r="AB11058" s="310"/>
    </row>
    <row r="11059" spans="13:28" s="308" customFormat="1" x14ac:dyDescent="0.2">
      <c r="M11059" s="309"/>
      <c r="AB11059" s="310"/>
    </row>
    <row r="11060" spans="13:28" s="308" customFormat="1" x14ac:dyDescent="0.2">
      <c r="M11060" s="309"/>
      <c r="AB11060" s="310"/>
    </row>
    <row r="11061" spans="13:28" s="308" customFormat="1" x14ac:dyDescent="0.2">
      <c r="M11061" s="309"/>
      <c r="AB11061" s="310"/>
    </row>
    <row r="11062" spans="13:28" s="308" customFormat="1" x14ac:dyDescent="0.2">
      <c r="M11062" s="309"/>
      <c r="AB11062" s="310"/>
    </row>
    <row r="11063" spans="13:28" s="308" customFormat="1" x14ac:dyDescent="0.2">
      <c r="M11063" s="309"/>
      <c r="AB11063" s="310"/>
    </row>
    <row r="11064" spans="13:28" s="308" customFormat="1" x14ac:dyDescent="0.2">
      <c r="M11064" s="309"/>
      <c r="AB11064" s="310"/>
    </row>
    <row r="11065" spans="13:28" s="308" customFormat="1" x14ac:dyDescent="0.2">
      <c r="M11065" s="309"/>
      <c r="AB11065" s="310"/>
    </row>
    <row r="11066" spans="13:28" s="308" customFormat="1" x14ac:dyDescent="0.2">
      <c r="M11066" s="309"/>
      <c r="AB11066" s="310"/>
    </row>
    <row r="11067" spans="13:28" s="308" customFormat="1" x14ac:dyDescent="0.2">
      <c r="M11067" s="309"/>
      <c r="AB11067" s="310"/>
    </row>
    <row r="11068" spans="13:28" s="308" customFormat="1" x14ac:dyDescent="0.2">
      <c r="M11068" s="309"/>
      <c r="AB11068" s="310"/>
    </row>
    <row r="11069" spans="13:28" s="308" customFormat="1" x14ac:dyDescent="0.2">
      <c r="M11069" s="309"/>
      <c r="AB11069" s="310"/>
    </row>
    <row r="11070" spans="13:28" s="308" customFormat="1" x14ac:dyDescent="0.2">
      <c r="M11070" s="309"/>
      <c r="AB11070" s="310"/>
    </row>
    <row r="11071" spans="13:28" s="308" customFormat="1" x14ac:dyDescent="0.2">
      <c r="M11071" s="309"/>
      <c r="AB11071" s="310"/>
    </row>
    <row r="11072" spans="13:28" s="308" customFormat="1" x14ac:dyDescent="0.2">
      <c r="M11072" s="309"/>
      <c r="AB11072" s="310"/>
    </row>
    <row r="11073" spans="13:28" s="308" customFormat="1" x14ac:dyDescent="0.2">
      <c r="M11073" s="309"/>
      <c r="AB11073" s="310"/>
    </row>
    <row r="11074" spans="13:28" s="308" customFormat="1" x14ac:dyDescent="0.2">
      <c r="M11074" s="309"/>
      <c r="AB11074" s="310"/>
    </row>
    <row r="11075" spans="13:28" s="308" customFormat="1" x14ac:dyDescent="0.2">
      <c r="M11075" s="309"/>
      <c r="AB11075" s="310"/>
    </row>
    <row r="11076" spans="13:28" s="308" customFormat="1" x14ac:dyDescent="0.2">
      <c r="M11076" s="309"/>
      <c r="AB11076" s="310"/>
    </row>
    <row r="11077" spans="13:28" s="308" customFormat="1" x14ac:dyDescent="0.2">
      <c r="M11077" s="309"/>
      <c r="AB11077" s="310"/>
    </row>
    <row r="11078" spans="13:28" s="308" customFormat="1" x14ac:dyDescent="0.2">
      <c r="M11078" s="309"/>
      <c r="AB11078" s="310"/>
    </row>
    <row r="11079" spans="13:28" s="308" customFormat="1" x14ac:dyDescent="0.2">
      <c r="M11079" s="309"/>
      <c r="AB11079" s="310"/>
    </row>
    <row r="11080" spans="13:28" s="308" customFormat="1" x14ac:dyDescent="0.2">
      <c r="M11080" s="309"/>
      <c r="AB11080" s="310"/>
    </row>
    <row r="11081" spans="13:28" s="308" customFormat="1" x14ac:dyDescent="0.2">
      <c r="M11081" s="309"/>
      <c r="AB11081" s="310"/>
    </row>
    <row r="11082" spans="13:28" s="308" customFormat="1" x14ac:dyDescent="0.2">
      <c r="M11082" s="309"/>
      <c r="AB11082" s="310"/>
    </row>
    <row r="11083" spans="13:28" s="308" customFormat="1" x14ac:dyDescent="0.2">
      <c r="M11083" s="309"/>
      <c r="AB11083" s="310"/>
    </row>
    <row r="11084" spans="13:28" s="308" customFormat="1" x14ac:dyDescent="0.2">
      <c r="M11084" s="309"/>
      <c r="AB11084" s="310"/>
    </row>
    <row r="11085" spans="13:28" s="308" customFormat="1" x14ac:dyDescent="0.2">
      <c r="M11085" s="309"/>
      <c r="AB11085" s="310"/>
    </row>
    <row r="11086" spans="13:28" s="308" customFormat="1" x14ac:dyDescent="0.2">
      <c r="M11086" s="309"/>
      <c r="AB11086" s="310"/>
    </row>
    <row r="11087" spans="13:28" s="308" customFormat="1" x14ac:dyDescent="0.2">
      <c r="M11087" s="309"/>
      <c r="AB11087" s="310"/>
    </row>
    <row r="11088" spans="13:28" s="308" customFormat="1" x14ac:dyDescent="0.2">
      <c r="M11088" s="309"/>
      <c r="AB11088" s="310"/>
    </row>
    <row r="11089" spans="13:28" s="308" customFormat="1" x14ac:dyDescent="0.2">
      <c r="M11089" s="309"/>
      <c r="AB11089" s="310"/>
    </row>
    <row r="11090" spans="13:28" s="308" customFormat="1" x14ac:dyDescent="0.2">
      <c r="M11090" s="309"/>
      <c r="AB11090" s="310"/>
    </row>
    <row r="11091" spans="13:28" s="308" customFormat="1" x14ac:dyDescent="0.2">
      <c r="M11091" s="309"/>
      <c r="AB11091" s="310"/>
    </row>
    <row r="11092" spans="13:28" s="308" customFormat="1" x14ac:dyDescent="0.2">
      <c r="M11092" s="309"/>
      <c r="AB11092" s="310"/>
    </row>
    <row r="11093" spans="13:28" s="308" customFormat="1" x14ac:dyDescent="0.2">
      <c r="M11093" s="309"/>
      <c r="AB11093" s="310"/>
    </row>
    <row r="11094" spans="13:28" s="308" customFormat="1" x14ac:dyDescent="0.2">
      <c r="M11094" s="309"/>
      <c r="AB11094" s="310"/>
    </row>
    <row r="11095" spans="13:28" s="308" customFormat="1" x14ac:dyDescent="0.2">
      <c r="M11095" s="309"/>
      <c r="AB11095" s="310"/>
    </row>
    <row r="11096" spans="13:28" s="308" customFormat="1" x14ac:dyDescent="0.2">
      <c r="M11096" s="309"/>
      <c r="AB11096" s="310"/>
    </row>
    <row r="11097" spans="13:28" s="308" customFormat="1" x14ac:dyDescent="0.2">
      <c r="M11097" s="309"/>
      <c r="AB11097" s="310"/>
    </row>
    <row r="11098" spans="13:28" s="308" customFormat="1" x14ac:dyDescent="0.2">
      <c r="M11098" s="309"/>
      <c r="AB11098" s="310"/>
    </row>
    <row r="11099" spans="13:28" s="308" customFormat="1" x14ac:dyDescent="0.2">
      <c r="M11099" s="309"/>
      <c r="AB11099" s="310"/>
    </row>
    <row r="11100" spans="13:28" s="308" customFormat="1" x14ac:dyDescent="0.2">
      <c r="M11100" s="309"/>
      <c r="AB11100" s="310"/>
    </row>
    <row r="11101" spans="13:28" s="308" customFormat="1" x14ac:dyDescent="0.2">
      <c r="M11101" s="309"/>
      <c r="AB11101" s="310"/>
    </row>
    <row r="11102" spans="13:28" s="308" customFormat="1" x14ac:dyDescent="0.2">
      <c r="M11102" s="309"/>
      <c r="AB11102" s="310"/>
    </row>
    <row r="11103" spans="13:28" s="308" customFormat="1" x14ac:dyDescent="0.2">
      <c r="M11103" s="309"/>
      <c r="AB11103" s="310"/>
    </row>
    <row r="11104" spans="13:28" s="308" customFormat="1" x14ac:dyDescent="0.2">
      <c r="M11104" s="309"/>
      <c r="AB11104" s="310"/>
    </row>
    <row r="11105" spans="13:28" s="308" customFormat="1" x14ac:dyDescent="0.2">
      <c r="M11105" s="309"/>
      <c r="AB11105" s="310"/>
    </row>
    <row r="11106" spans="13:28" s="308" customFormat="1" x14ac:dyDescent="0.2">
      <c r="M11106" s="309"/>
      <c r="AB11106" s="310"/>
    </row>
    <row r="11107" spans="13:28" s="308" customFormat="1" x14ac:dyDescent="0.2">
      <c r="M11107" s="309"/>
      <c r="AB11107" s="310"/>
    </row>
    <row r="11108" spans="13:28" s="308" customFormat="1" x14ac:dyDescent="0.2">
      <c r="M11108" s="309"/>
      <c r="AB11108" s="310"/>
    </row>
    <row r="11109" spans="13:28" s="308" customFormat="1" x14ac:dyDescent="0.2">
      <c r="M11109" s="309"/>
      <c r="AB11109" s="310"/>
    </row>
    <row r="11110" spans="13:28" s="308" customFormat="1" x14ac:dyDescent="0.2">
      <c r="M11110" s="309"/>
      <c r="AB11110" s="310"/>
    </row>
    <row r="11111" spans="13:28" s="308" customFormat="1" x14ac:dyDescent="0.2">
      <c r="M11111" s="309"/>
      <c r="AB11111" s="310"/>
    </row>
    <row r="11112" spans="13:28" s="308" customFormat="1" x14ac:dyDescent="0.2">
      <c r="M11112" s="309"/>
      <c r="AB11112" s="310"/>
    </row>
    <row r="11113" spans="13:28" s="308" customFormat="1" x14ac:dyDescent="0.2">
      <c r="M11113" s="309"/>
      <c r="AB11113" s="310"/>
    </row>
    <row r="11114" spans="13:28" s="308" customFormat="1" x14ac:dyDescent="0.2">
      <c r="M11114" s="309"/>
      <c r="AB11114" s="310"/>
    </row>
    <row r="11115" spans="13:28" s="308" customFormat="1" x14ac:dyDescent="0.2">
      <c r="M11115" s="309"/>
      <c r="AB11115" s="310"/>
    </row>
    <row r="11116" spans="13:28" s="308" customFormat="1" x14ac:dyDescent="0.2">
      <c r="M11116" s="309"/>
      <c r="AB11116" s="310"/>
    </row>
    <row r="11117" spans="13:28" s="308" customFormat="1" x14ac:dyDescent="0.2">
      <c r="M11117" s="309"/>
      <c r="AB11117" s="310"/>
    </row>
    <row r="11118" spans="13:28" s="308" customFormat="1" x14ac:dyDescent="0.2">
      <c r="M11118" s="309"/>
      <c r="AB11118" s="310"/>
    </row>
    <row r="11119" spans="13:28" s="308" customFormat="1" x14ac:dyDescent="0.2">
      <c r="M11119" s="309"/>
      <c r="AB11119" s="310"/>
    </row>
    <row r="11120" spans="13:28" s="308" customFormat="1" x14ac:dyDescent="0.2">
      <c r="M11120" s="309"/>
      <c r="AB11120" s="310"/>
    </row>
    <row r="11121" spans="13:28" s="308" customFormat="1" x14ac:dyDescent="0.2">
      <c r="M11121" s="309"/>
      <c r="AB11121" s="310"/>
    </row>
    <row r="11122" spans="13:28" s="308" customFormat="1" x14ac:dyDescent="0.2">
      <c r="M11122" s="309"/>
      <c r="AB11122" s="310"/>
    </row>
    <row r="11123" spans="13:28" s="308" customFormat="1" x14ac:dyDescent="0.2">
      <c r="M11123" s="309"/>
      <c r="AB11123" s="310"/>
    </row>
    <row r="11124" spans="13:28" s="308" customFormat="1" x14ac:dyDescent="0.2">
      <c r="M11124" s="309"/>
      <c r="AB11124" s="310"/>
    </row>
    <row r="11125" spans="13:28" s="308" customFormat="1" x14ac:dyDescent="0.2">
      <c r="M11125" s="309"/>
      <c r="AB11125" s="310"/>
    </row>
    <row r="11126" spans="13:28" s="308" customFormat="1" x14ac:dyDescent="0.2">
      <c r="M11126" s="309"/>
      <c r="AB11126" s="310"/>
    </row>
    <row r="11127" spans="13:28" s="308" customFormat="1" x14ac:dyDescent="0.2">
      <c r="M11127" s="309"/>
      <c r="AB11127" s="310"/>
    </row>
    <row r="11128" spans="13:28" s="308" customFormat="1" x14ac:dyDescent="0.2">
      <c r="M11128" s="309"/>
      <c r="AB11128" s="310"/>
    </row>
    <row r="11129" spans="13:28" s="308" customFormat="1" x14ac:dyDescent="0.2">
      <c r="M11129" s="309"/>
      <c r="AB11129" s="310"/>
    </row>
    <row r="11130" spans="13:28" s="308" customFormat="1" x14ac:dyDescent="0.2">
      <c r="M11130" s="309"/>
      <c r="AB11130" s="310"/>
    </row>
    <row r="11131" spans="13:28" s="308" customFormat="1" x14ac:dyDescent="0.2">
      <c r="M11131" s="309"/>
      <c r="AB11131" s="310"/>
    </row>
    <row r="11132" spans="13:28" s="308" customFormat="1" x14ac:dyDescent="0.2">
      <c r="M11132" s="309"/>
      <c r="AB11132" s="310"/>
    </row>
    <row r="11133" spans="13:28" s="308" customFormat="1" x14ac:dyDescent="0.2">
      <c r="M11133" s="309"/>
      <c r="AB11133" s="310"/>
    </row>
    <row r="11134" spans="13:28" s="308" customFormat="1" x14ac:dyDescent="0.2">
      <c r="M11134" s="309"/>
      <c r="AB11134" s="310"/>
    </row>
    <row r="11135" spans="13:28" s="308" customFormat="1" x14ac:dyDescent="0.2">
      <c r="M11135" s="309"/>
      <c r="AB11135" s="310"/>
    </row>
    <row r="11136" spans="13:28" s="308" customFormat="1" x14ac:dyDescent="0.2">
      <c r="M11136" s="309"/>
      <c r="AB11136" s="310"/>
    </row>
    <row r="11137" spans="13:28" s="308" customFormat="1" x14ac:dyDescent="0.2">
      <c r="M11137" s="309"/>
      <c r="AB11137" s="310"/>
    </row>
    <row r="11138" spans="13:28" s="308" customFormat="1" x14ac:dyDescent="0.2">
      <c r="M11138" s="309"/>
      <c r="AB11138" s="310"/>
    </row>
    <row r="11139" spans="13:28" s="308" customFormat="1" x14ac:dyDescent="0.2">
      <c r="M11139" s="309"/>
      <c r="AB11139" s="310"/>
    </row>
    <row r="11140" spans="13:28" s="308" customFormat="1" x14ac:dyDescent="0.2">
      <c r="M11140" s="309"/>
      <c r="AB11140" s="310"/>
    </row>
    <row r="11141" spans="13:28" s="308" customFormat="1" x14ac:dyDescent="0.2">
      <c r="M11141" s="309"/>
      <c r="AB11141" s="310"/>
    </row>
    <row r="11142" spans="13:28" s="308" customFormat="1" x14ac:dyDescent="0.2">
      <c r="M11142" s="309"/>
      <c r="AB11142" s="310"/>
    </row>
    <row r="11143" spans="13:28" s="308" customFormat="1" x14ac:dyDescent="0.2">
      <c r="M11143" s="309"/>
      <c r="AB11143" s="310"/>
    </row>
    <row r="11144" spans="13:28" s="308" customFormat="1" x14ac:dyDescent="0.2">
      <c r="M11144" s="309"/>
      <c r="AB11144" s="310"/>
    </row>
    <row r="11145" spans="13:28" s="308" customFormat="1" x14ac:dyDescent="0.2">
      <c r="M11145" s="309"/>
      <c r="AB11145" s="310"/>
    </row>
    <row r="11146" spans="13:28" s="308" customFormat="1" x14ac:dyDescent="0.2">
      <c r="M11146" s="309"/>
      <c r="AB11146" s="310"/>
    </row>
    <row r="11147" spans="13:28" s="308" customFormat="1" x14ac:dyDescent="0.2">
      <c r="M11147" s="309"/>
      <c r="AB11147" s="310"/>
    </row>
    <row r="11148" spans="13:28" s="308" customFormat="1" x14ac:dyDescent="0.2">
      <c r="M11148" s="309"/>
      <c r="AB11148" s="310"/>
    </row>
    <row r="11149" spans="13:28" s="308" customFormat="1" x14ac:dyDescent="0.2">
      <c r="M11149" s="309"/>
      <c r="AB11149" s="310"/>
    </row>
    <row r="11150" spans="13:28" s="308" customFormat="1" x14ac:dyDescent="0.2">
      <c r="M11150" s="309"/>
      <c r="AB11150" s="310"/>
    </row>
    <row r="11151" spans="13:28" s="308" customFormat="1" x14ac:dyDescent="0.2">
      <c r="M11151" s="309"/>
      <c r="AB11151" s="310"/>
    </row>
    <row r="11152" spans="13:28" s="308" customFormat="1" x14ac:dyDescent="0.2">
      <c r="M11152" s="309"/>
      <c r="AB11152" s="310"/>
    </row>
    <row r="11153" spans="13:28" s="308" customFormat="1" x14ac:dyDescent="0.2">
      <c r="M11153" s="309"/>
      <c r="AB11153" s="310"/>
    </row>
    <row r="11154" spans="13:28" s="308" customFormat="1" x14ac:dyDescent="0.2">
      <c r="M11154" s="309"/>
      <c r="AB11154" s="310"/>
    </row>
    <row r="11155" spans="13:28" s="308" customFormat="1" x14ac:dyDescent="0.2">
      <c r="M11155" s="309"/>
      <c r="AB11155" s="310"/>
    </row>
    <row r="11156" spans="13:28" s="308" customFormat="1" x14ac:dyDescent="0.2">
      <c r="M11156" s="309"/>
      <c r="AB11156" s="310"/>
    </row>
    <row r="11157" spans="13:28" s="308" customFormat="1" x14ac:dyDescent="0.2">
      <c r="M11157" s="309"/>
      <c r="AB11157" s="310"/>
    </row>
    <row r="11158" spans="13:28" s="308" customFormat="1" x14ac:dyDescent="0.2">
      <c r="M11158" s="309"/>
      <c r="AB11158" s="310"/>
    </row>
    <row r="11159" spans="13:28" s="308" customFormat="1" x14ac:dyDescent="0.2">
      <c r="M11159" s="309"/>
      <c r="AB11159" s="310"/>
    </row>
    <row r="11160" spans="13:28" s="308" customFormat="1" x14ac:dyDescent="0.2">
      <c r="M11160" s="309"/>
      <c r="AB11160" s="310"/>
    </row>
    <row r="11161" spans="13:28" s="308" customFormat="1" x14ac:dyDescent="0.2">
      <c r="M11161" s="309"/>
      <c r="AB11161" s="310"/>
    </row>
    <row r="11162" spans="13:28" s="308" customFormat="1" x14ac:dyDescent="0.2">
      <c r="M11162" s="309"/>
      <c r="AB11162" s="310"/>
    </row>
    <row r="11163" spans="13:28" s="308" customFormat="1" x14ac:dyDescent="0.2">
      <c r="M11163" s="309"/>
      <c r="AB11163" s="310"/>
    </row>
    <row r="11164" spans="13:28" s="308" customFormat="1" x14ac:dyDescent="0.2">
      <c r="M11164" s="309"/>
      <c r="AB11164" s="310"/>
    </row>
    <row r="11165" spans="13:28" s="308" customFormat="1" x14ac:dyDescent="0.2">
      <c r="M11165" s="309"/>
      <c r="AB11165" s="310"/>
    </row>
    <row r="11166" spans="13:28" s="308" customFormat="1" x14ac:dyDescent="0.2">
      <c r="M11166" s="309"/>
      <c r="AB11166" s="310"/>
    </row>
    <row r="11167" spans="13:28" s="308" customFormat="1" x14ac:dyDescent="0.2">
      <c r="M11167" s="309"/>
      <c r="AB11167" s="310"/>
    </row>
    <row r="11168" spans="13:28" s="308" customFormat="1" x14ac:dyDescent="0.2">
      <c r="M11168" s="309"/>
      <c r="AB11168" s="310"/>
    </row>
    <row r="11169" spans="13:28" s="308" customFormat="1" x14ac:dyDescent="0.2">
      <c r="M11169" s="309"/>
      <c r="AB11169" s="310"/>
    </row>
    <row r="11170" spans="13:28" s="308" customFormat="1" x14ac:dyDescent="0.2">
      <c r="M11170" s="309"/>
      <c r="AB11170" s="310"/>
    </row>
    <row r="11171" spans="13:28" s="308" customFormat="1" x14ac:dyDescent="0.2">
      <c r="M11171" s="309"/>
      <c r="AB11171" s="310"/>
    </row>
    <row r="11172" spans="13:28" s="308" customFormat="1" x14ac:dyDescent="0.2">
      <c r="M11172" s="309"/>
      <c r="AB11172" s="310"/>
    </row>
    <row r="11173" spans="13:28" s="308" customFormat="1" x14ac:dyDescent="0.2">
      <c r="M11173" s="309"/>
      <c r="AB11173" s="310"/>
    </row>
    <row r="11174" spans="13:28" s="308" customFormat="1" x14ac:dyDescent="0.2">
      <c r="M11174" s="309"/>
      <c r="AB11174" s="310"/>
    </row>
    <row r="11175" spans="13:28" s="308" customFormat="1" x14ac:dyDescent="0.2">
      <c r="M11175" s="309"/>
      <c r="AB11175" s="310"/>
    </row>
    <row r="11176" spans="13:28" s="308" customFormat="1" x14ac:dyDescent="0.2">
      <c r="M11176" s="309"/>
      <c r="AB11176" s="310"/>
    </row>
    <row r="11177" spans="13:28" s="308" customFormat="1" x14ac:dyDescent="0.2">
      <c r="M11177" s="309"/>
      <c r="AB11177" s="310"/>
    </row>
    <row r="11178" spans="13:28" s="308" customFormat="1" x14ac:dyDescent="0.2">
      <c r="M11178" s="309"/>
      <c r="AB11178" s="310"/>
    </row>
    <row r="11179" spans="13:28" s="308" customFormat="1" x14ac:dyDescent="0.2">
      <c r="M11179" s="309"/>
      <c r="AB11179" s="310"/>
    </row>
    <row r="11180" spans="13:28" s="308" customFormat="1" x14ac:dyDescent="0.2">
      <c r="M11180" s="309"/>
      <c r="AB11180" s="310"/>
    </row>
    <row r="11181" spans="13:28" s="308" customFormat="1" x14ac:dyDescent="0.2">
      <c r="M11181" s="309"/>
      <c r="AB11181" s="310"/>
    </row>
    <row r="11182" spans="13:28" s="308" customFormat="1" x14ac:dyDescent="0.2">
      <c r="M11182" s="309"/>
      <c r="AB11182" s="310"/>
    </row>
    <row r="11183" spans="13:28" s="308" customFormat="1" x14ac:dyDescent="0.2">
      <c r="M11183" s="309"/>
      <c r="AB11183" s="310"/>
    </row>
    <row r="11184" spans="13:28" s="308" customFormat="1" x14ac:dyDescent="0.2">
      <c r="M11184" s="309"/>
      <c r="AB11184" s="310"/>
    </row>
    <row r="11185" spans="13:28" s="308" customFormat="1" x14ac:dyDescent="0.2">
      <c r="M11185" s="309"/>
      <c r="AB11185" s="310"/>
    </row>
    <row r="11186" spans="13:28" s="308" customFormat="1" x14ac:dyDescent="0.2">
      <c r="M11186" s="309"/>
      <c r="AB11186" s="310"/>
    </row>
    <row r="11187" spans="13:28" s="308" customFormat="1" x14ac:dyDescent="0.2">
      <c r="M11187" s="309"/>
      <c r="AB11187" s="310"/>
    </row>
    <row r="11188" spans="13:28" s="308" customFormat="1" x14ac:dyDescent="0.2">
      <c r="M11188" s="309"/>
      <c r="AB11188" s="310"/>
    </row>
    <row r="11189" spans="13:28" s="308" customFormat="1" x14ac:dyDescent="0.2">
      <c r="M11189" s="309"/>
      <c r="AB11189" s="310"/>
    </row>
    <row r="11190" spans="13:28" s="308" customFormat="1" x14ac:dyDescent="0.2">
      <c r="M11190" s="309"/>
      <c r="AB11190" s="310"/>
    </row>
    <row r="11191" spans="13:28" s="308" customFormat="1" x14ac:dyDescent="0.2">
      <c r="M11191" s="309"/>
      <c r="AB11191" s="310"/>
    </row>
    <row r="11192" spans="13:28" s="308" customFormat="1" x14ac:dyDescent="0.2">
      <c r="M11192" s="309"/>
      <c r="AB11192" s="310"/>
    </row>
    <row r="11193" spans="13:28" s="308" customFormat="1" x14ac:dyDescent="0.2">
      <c r="M11193" s="309"/>
      <c r="AB11193" s="310"/>
    </row>
    <row r="11194" spans="13:28" s="308" customFormat="1" x14ac:dyDescent="0.2">
      <c r="M11194" s="309"/>
      <c r="AB11194" s="310"/>
    </row>
    <row r="11195" spans="13:28" s="308" customFormat="1" x14ac:dyDescent="0.2">
      <c r="M11195" s="309"/>
      <c r="AB11195" s="310"/>
    </row>
    <row r="11196" spans="13:28" s="308" customFormat="1" x14ac:dyDescent="0.2">
      <c r="M11196" s="309"/>
      <c r="AB11196" s="310"/>
    </row>
    <row r="11197" spans="13:28" s="308" customFormat="1" x14ac:dyDescent="0.2">
      <c r="M11197" s="309"/>
      <c r="AB11197" s="310"/>
    </row>
    <row r="11198" spans="13:28" s="308" customFormat="1" x14ac:dyDescent="0.2">
      <c r="M11198" s="309"/>
      <c r="AB11198" s="310"/>
    </row>
    <row r="11199" spans="13:28" s="308" customFormat="1" x14ac:dyDescent="0.2">
      <c r="M11199" s="309"/>
      <c r="AB11199" s="310"/>
    </row>
    <row r="11200" spans="13:28" s="308" customFormat="1" x14ac:dyDescent="0.2">
      <c r="M11200" s="309"/>
      <c r="AB11200" s="310"/>
    </row>
    <row r="11201" spans="13:28" s="308" customFormat="1" x14ac:dyDescent="0.2">
      <c r="M11201" s="309"/>
      <c r="AB11201" s="310"/>
    </row>
    <row r="11202" spans="13:28" s="308" customFormat="1" x14ac:dyDescent="0.2">
      <c r="M11202" s="309"/>
      <c r="AB11202" s="310"/>
    </row>
    <row r="11203" spans="13:28" s="308" customFormat="1" x14ac:dyDescent="0.2">
      <c r="M11203" s="309"/>
      <c r="AB11203" s="310"/>
    </row>
    <row r="11204" spans="13:28" s="308" customFormat="1" x14ac:dyDescent="0.2">
      <c r="M11204" s="309"/>
      <c r="AB11204" s="310"/>
    </row>
    <row r="11205" spans="13:28" s="308" customFormat="1" x14ac:dyDescent="0.2">
      <c r="M11205" s="309"/>
      <c r="AB11205" s="310"/>
    </row>
    <row r="11206" spans="13:28" s="308" customFormat="1" x14ac:dyDescent="0.2">
      <c r="M11206" s="309"/>
      <c r="AB11206" s="310"/>
    </row>
    <row r="11207" spans="13:28" s="308" customFormat="1" x14ac:dyDescent="0.2">
      <c r="M11207" s="309"/>
      <c r="AB11207" s="310"/>
    </row>
    <row r="11208" spans="13:28" s="308" customFormat="1" x14ac:dyDescent="0.2">
      <c r="M11208" s="309"/>
      <c r="AB11208" s="310"/>
    </row>
    <row r="11209" spans="13:28" s="308" customFormat="1" x14ac:dyDescent="0.2">
      <c r="M11209" s="309"/>
      <c r="AB11209" s="310"/>
    </row>
    <row r="11210" spans="13:28" s="308" customFormat="1" x14ac:dyDescent="0.2">
      <c r="M11210" s="309"/>
      <c r="AB11210" s="310"/>
    </row>
    <row r="11211" spans="13:28" s="308" customFormat="1" x14ac:dyDescent="0.2">
      <c r="M11211" s="309"/>
      <c r="AB11211" s="310"/>
    </row>
    <row r="11212" spans="13:28" s="308" customFormat="1" x14ac:dyDescent="0.2">
      <c r="M11212" s="309"/>
      <c r="AB11212" s="310"/>
    </row>
    <row r="11213" spans="13:28" s="308" customFormat="1" x14ac:dyDescent="0.2">
      <c r="M11213" s="309"/>
      <c r="AB11213" s="310"/>
    </row>
    <row r="11214" spans="13:28" s="308" customFormat="1" x14ac:dyDescent="0.2">
      <c r="M11214" s="309"/>
      <c r="AB11214" s="310"/>
    </row>
    <row r="11215" spans="13:28" s="308" customFormat="1" x14ac:dyDescent="0.2">
      <c r="M11215" s="309"/>
      <c r="AB11215" s="310"/>
    </row>
    <row r="11216" spans="13:28" s="308" customFormat="1" x14ac:dyDescent="0.2">
      <c r="M11216" s="309"/>
      <c r="AB11216" s="310"/>
    </row>
    <row r="11217" spans="13:28" s="308" customFormat="1" x14ac:dyDescent="0.2">
      <c r="M11217" s="309"/>
      <c r="AB11217" s="310"/>
    </row>
    <row r="11218" spans="13:28" s="308" customFormat="1" x14ac:dyDescent="0.2">
      <c r="M11218" s="309"/>
      <c r="AB11218" s="310"/>
    </row>
    <row r="11219" spans="13:28" s="308" customFormat="1" x14ac:dyDescent="0.2">
      <c r="M11219" s="309"/>
      <c r="AB11219" s="310"/>
    </row>
    <row r="11220" spans="13:28" s="308" customFormat="1" x14ac:dyDescent="0.2">
      <c r="M11220" s="309"/>
      <c r="AB11220" s="310"/>
    </row>
    <row r="11221" spans="13:28" s="308" customFormat="1" x14ac:dyDescent="0.2">
      <c r="M11221" s="309"/>
      <c r="AB11221" s="310"/>
    </row>
    <row r="11222" spans="13:28" s="308" customFormat="1" x14ac:dyDescent="0.2">
      <c r="M11222" s="309"/>
      <c r="AB11222" s="310"/>
    </row>
    <row r="11223" spans="13:28" s="308" customFormat="1" x14ac:dyDescent="0.2">
      <c r="M11223" s="309"/>
      <c r="AB11223" s="310"/>
    </row>
    <row r="11224" spans="13:28" s="308" customFormat="1" x14ac:dyDescent="0.2">
      <c r="M11224" s="309"/>
      <c r="AB11224" s="310"/>
    </row>
    <row r="11225" spans="13:28" s="308" customFormat="1" x14ac:dyDescent="0.2">
      <c r="M11225" s="309"/>
      <c r="AB11225" s="310"/>
    </row>
    <row r="11226" spans="13:28" s="308" customFormat="1" x14ac:dyDescent="0.2">
      <c r="M11226" s="309"/>
      <c r="AB11226" s="310"/>
    </row>
    <row r="11227" spans="13:28" s="308" customFormat="1" x14ac:dyDescent="0.2">
      <c r="M11227" s="309"/>
      <c r="AB11227" s="310"/>
    </row>
    <row r="11228" spans="13:28" s="308" customFormat="1" x14ac:dyDescent="0.2">
      <c r="M11228" s="309"/>
      <c r="AB11228" s="310"/>
    </row>
    <row r="11229" spans="13:28" s="308" customFormat="1" x14ac:dyDescent="0.2">
      <c r="M11229" s="309"/>
      <c r="AB11229" s="310"/>
    </row>
    <row r="11230" spans="13:28" s="308" customFormat="1" x14ac:dyDescent="0.2">
      <c r="M11230" s="309"/>
      <c r="AB11230" s="310"/>
    </row>
    <row r="11231" spans="13:28" s="308" customFormat="1" x14ac:dyDescent="0.2">
      <c r="M11231" s="309"/>
      <c r="AB11231" s="310"/>
    </row>
    <row r="11232" spans="13:28" s="308" customFormat="1" x14ac:dyDescent="0.2">
      <c r="M11232" s="309"/>
      <c r="AB11232" s="310"/>
    </row>
    <row r="11233" spans="13:28" s="308" customFormat="1" x14ac:dyDescent="0.2">
      <c r="M11233" s="309"/>
      <c r="AB11233" s="310"/>
    </row>
    <row r="11234" spans="13:28" s="308" customFormat="1" x14ac:dyDescent="0.2">
      <c r="M11234" s="309"/>
      <c r="AB11234" s="310"/>
    </row>
    <row r="11235" spans="13:28" s="308" customFormat="1" x14ac:dyDescent="0.2">
      <c r="M11235" s="309"/>
      <c r="AB11235" s="310"/>
    </row>
    <row r="11236" spans="13:28" s="308" customFormat="1" x14ac:dyDescent="0.2">
      <c r="M11236" s="309"/>
      <c r="AB11236" s="310"/>
    </row>
    <row r="11237" spans="13:28" s="308" customFormat="1" x14ac:dyDescent="0.2">
      <c r="M11237" s="309"/>
      <c r="AB11237" s="310"/>
    </row>
    <row r="11238" spans="13:28" s="308" customFormat="1" x14ac:dyDescent="0.2">
      <c r="M11238" s="309"/>
      <c r="AB11238" s="310"/>
    </row>
    <row r="11239" spans="13:28" s="308" customFormat="1" x14ac:dyDescent="0.2">
      <c r="M11239" s="309"/>
      <c r="AB11239" s="310"/>
    </row>
    <row r="11240" spans="13:28" s="308" customFormat="1" x14ac:dyDescent="0.2">
      <c r="M11240" s="309"/>
      <c r="AB11240" s="310"/>
    </row>
    <row r="11241" spans="13:28" s="308" customFormat="1" x14ac:dyDescent="0.2">
      <c r="M11241" s="309"/>
      <c r="AB11241" s="310"/>
    </row>
    <row r="11242" spans="13:28" s="308" customFormat="1" x14ac:dyDescent="0.2">
      <c r="M11242" s="309"/>
      <c r="AB11242" s="310"/>
    </row>
    <row r="11243" spans="13:28" s="308" customFormat="1" x14ac:dyDescent="0.2">
      <c r="M11243" s="309"/>
      <c r="AB11243" s="310"/>
    </row>
    <row r="11244" spans="13:28" s="308" customFormat="1" x14ac:dyDescent="0.2">
      <c r="M11244" s="309"/>
      <c r="AB11244" s="310"/>
    </row>
    <row r="11245" spans="13:28" s="308" customFormat="1" x14ac:dyDescent="0.2">
      <c r="M11245" s="309"/>
      <c r="AB11245" s="310"/>
    </row>
    <row r="11246" spans="13:28" s="308" customFormat="1" x14ac:dyDescent="0.2">
      <c r="M11246" s="309"/>
      <c r="AB11246" s="310"/>
    </row>
    <row r="11247" spans="13:28" s="308" customFormat="1" x14ac:dyDescent="0.2">
      <c r="M11247" s="309"/>
      <c r="AB11247" s="310"/>
    </row>
    <row r="11248" spans="13:28" s="308" customFormat="1" x14ac:dyDescent="0.2">
      <c r="M11248" s="309"/>
      <c r="AB11248" s="310"/>
    </row>
    <row r="11249" spans="13:28" s="308" customFormat="1" x14ac:dyDescent="0.2">
      <c r="M11249" s="309"/>
      <c r="AB11249" s="310"/>
    </row>
    <row r="11250" spans="13:28" s="308" customFormat="1" x14ac:dyDescent="0.2">
      <c r="M11250" s="309"/>
      <c r="AB11250" s="310"/>
    </row>
    <row r="11251" spans="13:28" s="308" customFormat="1" x14ac:dyDescent="0.2">
      <c r="M11251" s="309"/>
      <c r="AB11251" s="310"/>
    </row>
    <row r="11252" spans="13:28" s="308" customFormat="1" x14ac:dyDescent="0.2">
      <c r="M11252" s="309"/>
      <c r="AB11252" s="310"/>
    </row>
    <row r="11253" spans="13:28" s="308" customFormat="1" x14ac:dyDescent="0.2">
      <c r="M11253" s="309"/>
      <c r="AB11253" s="310"/>
    </row>
    <row r="11254" spans="13:28" s="308" customFormat="1" x14ac:dyDescent="0.2">
      <c r="M11254" s="309"/>
      <c r="AB11254" s="310"/>
    </row>
    <row r="11255" spans="13:28" s="308" customFormat="1" x14ac:dyDescent="0.2">
      <c r="M11255" s="309"/>
      <c r="AB11255" s="310"/>
    </row>
    <row r="11256" spans="13:28" s="308" customFormat="1" x14ac:dyDescent="0.2">
      <c r="M11256" s="309"/>
      <c r="AB11256" s="310"/>
    </row>
    <row r="11257" spans="13:28" s="308" customFormat="1" x14ac:dyDescent="0.2">
      <c r="M11257" s="309"/>
      <c r="AB11257" s="310"/>
    </row>
    <row r="11258" spans="13:28" s="308" customFormat="1" x14ac:dyDescent="0.2">
      <c r="M11258" s="309"/>
      <c r="AB11258" s="310"/>
    </row>
    <row r="11259" spans="13:28" s="308" customFormat="1" x14ac:dyDescent="0.2">
      <c r="M11259" s="309"/>
      <c r="AB11259" s="310"/>
    </row>
    <row r="11260" spans="13:28" s="308" customFormat="1" x14ac:dyDescent="0.2">
      <c r="M11260" s="309"/>
      <c r="AB11260" s="310"/>
    </row>
    <row r="11261" spans="13:28" s="308" customFormat="1" x14ac:dyDescent="0.2">
      <c r="M11261" s="309"/>
      <c r="AB11261" s="310"/>
    </row>
    <row r="11262" spans="13:28" s="308" customFormat="1" x14ac:dyDescent="0.2">
      <c r="M11262" s="309"/>
      <c r="AB11262" s="310"/>
    </row>
    <row r="11263" spans="13:28" s="308" customFormat="1" x14ac:dyDescent="0.2">
      <c r="M11263" s="309"/>
      <c r="AB11263" s="310"/>
    </row>
    <row r="11264" spans="13:28" s="308" customFormat="1" x14ac:dyDescent="0.2">
      <c r="M11264" s="309"/>
      <c r="AB11264" s="310"/>
    </row>
    <row r="11265" spans="13:28" s="308" customFormat="1" x14ac:dyDescent="0.2">
      <c r="M11265" s="309"/>
      <c r="AB11265" s="310"/>
    </row>
    <row r="11266" spans="13:28" s="308" customFormat="1" x14ac:dyDescent="0.2">
      <c r="M11266" s="309"/>
      <c r="AB11266" s="310"/>
    </row>
    <row r="11267" spans="13:28" s="308" customFormat="1" x14ac:dyDescent="0.2">
      <c r="M11267" s="309"/>
      <c r="AB11267" s="310"/>
    </row>
    <row r="11268" spans="13:28" s="308" customFormat="1" x14ac:dyDescent="0.2">
      <c r="M11268" s="309"/>
      <c r="AB11268" s="310"/>
    </row>
    <row r="11269" spans="13:28" s="308" customFormat="1" x14ac:dyDescent="0.2">
      <c r="M11269" s="309"/>
      <c r="AB11269" s="310"/>
    </row>
    <row r="11270" spans="13:28" s="308" customFormat="1" x14ac:dyDescent="0.2">
      <c r="M11270" s="309"/>
      <c r="AB11270" s="310"/>
    </row>
    <row r="11271" spans="13:28" s="308" customFormat="1" x14ac:dyDescent="0.2">
      <c r="M11271" s="309"/>
      <c r="AB11271" s="310"/>
    </row>
    <row r="11272" spans="13:28" s="308" customFormat="1" x14ac:dyDescent="0.2">
      <c r="M11272" s="309"/>
      <c r="AB11272" s="310"/>
    </row>
    <row r="11273" spans="13:28" s="308" customFormat="1" x14ac:dyDescent="0.2">
      <c r="M11273" s="309"/>
      <c r="AB11273" s="310"/>
    </row>
    <row r="11274" spans="13:28" s="308" customFormat="1" x14ac:dyDescent="0.2">
      <c r="M11274" s="309"/>
      <c r="AB11274" s="310"/>
    </row>
    <row r="11275" spans="13:28" s="308" customFormat="1" x14ac:dyDescent="0.2">
      <c r="M11275" s="309"/>
      <c r="AB11275" s="310"/>
    </row>
    <row r="11276" spans="13:28" s="308" customFormat="1" x14ac:dyDescent="0.2">
      <c r="M11276" s="309"/>
      <c r="AB11276" s="310"/>
    </row>
    <row r="11277" spans="13:28" s="308" customFormat="1" x14ac:dyDescent="0.2">
      <c r="M11277" s="309"/>
      <c r="AB11277" s="310"/>
    </row>
    <row r="11278" spans="13:28" s="308" customFormat="1" x14ac:dyDescent="0.2">
      <c r="M11278" s="309"/>
      <c r="AB11278" s="310"/>
    </row>
    <row r="11279" spans="13:28" s="308" customFormat="1" x14ac:dyDescent="0.2">
      <c r="M11279" s="309"/>
      <c r="AB11279" s="310"/>
    </row>
    <row r="11280" spans="13:28" s="308" customFormat="1" x14ac:dyDescent="0.2">
      <c r="M11280" s="309"/>
      <c r="AB11280" s="310"/>
    </row>
    <row r="11281" spans="13:28" s="308" customFormat="1" x14ac:dyDescent="0.2">
      <c r="M11281" s="309"/>
      <c r="AB11281" s="310"/>
    </row>
    <row r="11282" spans="13:28" s="308" customFormat="1" x14ac:dyDescent="0.2">
      <c r="M11282" s="309"/>
      <c r="AB11282" s="310"/>
    </row>
    <row r="11283" spans="13:28" s="308" customFormat="1" x14ac:dyDescent="0.2">
      <c r="M11283" s="309"/>
      <c r="AB11283" s="310"/>
    </row>
    <row r="11284" spans="13:28" s="308" customFormat="1" x14ac:dyDescent="0.2">
      <c r="M11284" s="309"/>
      <c r="AB11284" s="310"/>
    </row>
    <row r="11285" spans="13:28" s="308" customFormat="1" x14ac:dyDescent="0.2">
      <c r="M11285" s="309"/>
      <c r="AB11285" s="310"/>
    </row>
    <row r="11286" spans="13:28" s="308" customFormat="1" x14ac:dyDescent="0.2">
      <c r="M11286" s="309"/>
      <c r="AB11286" s="310"/>
    </row>
    <row r="11287" spans="13:28" s="308" customFormat="1" x14ac:dyDescent="0.2">
      <c r="M11287" s="309"/>
      <c r="AB11287" s="310"/>
    </row>
    <row r="11288" spans="13:28" s="308" customFormat="1" x14ac:dyDescent="0.2">
      <c r="M11288" s="309"/>
      <c r="AB11288" s="310"/>
    </row>
    <row r="11289" spans="13:28" s="308" customFormat="1" x14ac:dyDescent="0.2">
      <c r="M11289" s="309"/>
      <c r="AB11289" s="310"/>
    </row>
    <row r="11290" spans="13:28" s="308" customFormat="1" x14ac:dyDescent="0.2">
      <c r="M11290" s="309"/>
      <c r="AB11290" s="310"/>
    </row>
    <row r="11291" spans="13:28" s="308" customFormat="1" x14ac:dyDescent="0.2">
      <c r="M11291" s="309"/>
      <c r="AB11291" s="310"/>
    </row>
    <row r="11292" spans="13:28" s="308" customFormat="1" x14ac:dyDescent="0.2">
      <c r="M11292" s="309"/>
      <c r="AB11292" s="310"/>
    </row>
    <row r="11293" spans="13:28" s="308" customFormat="1" x14ac:dyDescent="0.2">
      <c r="M11293" s="309"/>
      <c r="AB11293" s="310"/>
    </row>
    <row r="11294" spans="13:28" s="308" customFormat="1" x14ac:dyDescent="0.2">
      <c r="M11294" s="309"/>
      <c r="AB11294" s="310"/>
    </row>
    <row r="11295" spans="13:28" s="308" customFormat="1" x14ac:dyDescent="0.2">
      <c r="M11295" s="309"/>
      <c r="AB11295" s="310"/>
    </row>
    <row r="11296" spans="13:28" s="308" customFormat="1" x14ac:dyDescent="0.2">
      <c r="M11296" s="309"/>
      <c r="AB11296" s="310"/>
    </row>
    <row r="11297" spans="13:28" s="308" customFormat="1" x14ac:dyDescent="0.2">
      <c r="M11297" s="309"/>
      <c r="AB11297" s="310"/>
    </row>
    <row r="11298" spans="13:28" s="308" customFormat="1" x14ac:dyDescent="0.2">
      <c r="M11298" s="309"/>
      <c r="AB11298" s="310"/>
    </row>
    <row r="11299" spans="13:28" s="308" customFormat="1" x14ac:dyDescent="0.2">
      <c r="M11299" s="309"/>
      <c r="AB11299" s="310"/>
    </row>
    <row r="11300" spans="13:28" s="308" customFormat="1" x14ac:dyDescent="0.2">
      <c r="M11300" s="309"/>
      <c r="AB11300" s="310"/>
    </row>
    <row r="11301" spans="13:28" s="308" customFormat="1" x14ac:dyDescent="0.2">
      <c r="M11301" s="309"/>
      <c r="AB11301" s="310"/>
    </row>
    <row r="11302" spans="13:28" s="308" customFormat="1" x14ac:dyDescent="0.2">
      <c r="M11302" s="309"/>
      <c r="AB11302" s="310"/>
    </row>
    <row r="11303" spans="13:28" s="308" customFormat="1" x14ac:dyDescent="0.2">
      <c r="M11303" s="309"/>
      <c r="AB11303" s="310"/>
    </row>
    <row r="11304" spans="13:28" s="308" customFormat="1" x14ac:dyDescent="0.2">
      <c r="M11304" s="309"/>
      <c r="AB11304" s="310"/>
    </row>
    <row r="11305" spans="13:28" s="308" customFormat="1" x14ac:dyDescent="0.2">
      <c r="M11305" s="309"/>
      <c r="AB11305" s="310"/>
    </row>
    <row r="11306" spans="13:28" s="308" customFormat="1" x14ac:dyDescent="0.2">
      <c r="M11306" s="309"/>
      <c r="AB11306" s="310"/>
    </row>
    <row r="11307" spans="13:28" s="308" customFormat="1" x14ac:dyDescent="0.2">
      <c r="M11307" s="309"/>
      <c r="AB11307" s="310"/>
    </row>
    <row r="11308" spans="13:28" s="308" customFormat="1" x14ac:dyDescent="0.2">
      <c r="M11308" s="309"/>
      <c r="AB11308" s="310"/>
    </row>
    <row r="11309" spans="13:28" s="308" customFormat="1" x14ac:dyDescent="0.2">
      <c r="M11309" s="309"/>
      <c r="AB11309" s="310"/>
    </row>
    <row r="11310" spans="13:28" s="308" customFormat="1" x14ac:dyDescent="0.2">
      <c r="M11310" s="309"/>
      <c r="AB11310" s="310"/>
    </row>
    <row r="11311" spans="13:28" s="308" customFormat="1" x14ac:dyDescent="0.2">
      <c r="M11311" s="309"/>
      <c r="AB11311" s="310"/>
    </row>
    <row r="11312" spans="13:28" s="308" customFormat="1" x14ac:dyDescent="0.2">
      <c r="M11312" s="309"/>
      <c r="AB11312" s="310"/>
    </row>
    <row r="11313" spans="13:28" s="308" customFormat="1" x14ac:dyDescent="0.2">
      <c r="M11313" s="309"/>
      <c r="AB11313" s="310"/>
    </row>
    <row r="11314" spans="13:28" s="308" customFormat="1" x14ac:dyDescent="0.2">
      <c r="M11314" s="309"/>
      <c r="AB11314" s="310"/>
    </row>
    <row r="11315" spans="13:28" s="308" customFormat="1" x14ac:dyDescent="0.2">
      <c r="M11315" s="309"/>
      <c r="AB11315" s="310"/>
    </row>
    <row r="11316" spans="13:28" s="308" customFormat="1" x14ac:dyDescent="0.2">
      <c r="M11316" s="309"/>
      <c r="AB11316" s="310"/>
    </row>
    <row r="11317" spans="13:28" s="308" customFormat="1" x14ac:dyDescent="0.2">
      <c r="M11317" s="309"/>
      <c r="AB11317" s="310"/>
    </row>
    <row r="11318" spans="13:28" s="308" customFormat="1" x14ac:dyDescent="0.2">
      <c r="M11318" s="309"/>
      <c r="AB11318" s="310"/>
    </row>
    <row r="11319" spans="13:28" s="308" customFormat="1" x14ac:dyDescent="0.2">
      <c r="M11319" s="309"/>
      <c r="AB11319" s="310"/>
    </row>
    <row r="11320" spans="13:28" s="308" customFormat="1" x14ac:dyDescent="0.2">
      <c r="M11320" s="309"/>
      <c r="AB11320" s="310"/>
    </row>
    <row r="11321" spans="13:28" s="308" customFormat="1" x14ac:dyDescent="0.2">
      <c r="M11321" s="309"/>
      <c r="AB11321" s="310"/>
    </row>
    <row r="11322" spans="13:28" s="308" customFormat="1" x14ac:dyDescent="0.2">
      <c r="M11322" s="309"/>
      <c r="AB11322" s="310"/>
    </row>
    <row r="11323" spans="13:28" s="308" customFormat="1" x14ac:dyDescent="0.2">
      <c r="M11323" s="309"/>
      <c r="AB11323" s="310"/>
    </row>
    <row r="11324" spans="13:28" s="308" customFormat="1" x14ac:dyDescent="0.2">
      <c r="M11324" s="309"/>
      <c r="AB11324" s="310"/>
    </row>
    <row r="11325" spans="13:28" s="308" customFormat="1" x14ac:dyDescent="0.2">
      <c r="M11325" s="309"/>
      <c r="AB11325" s="310"/>
    </row>
    <row r="11326" spans="13:28" s="308" customFormat="1" x14ac:dyDescent="0.2">
      <c r="M11326" s="309"/>
      <c r="AB11326" s="310"/>
    </row>
    <row r="11327" spans="13:28" s="308" customFormat="1" x14ac:dyDescent="0.2">
      <c r="M11327" s="309"/>
      <c r="AB11327" s="310"/>
    </row>
    <row r="11328" spans="13:28" s="308" customFormat="1" x14ac:dyDescent="0.2">
      <c r="M11328" s="309"/>
      <c r="AB11328" s="310"/>
    </row>
    <row r="11329" spans="13:28" s="308" customFormat="1" x14ac:dyDescent="0.2">
      <c r="M11329" s="309"/>
      <c r="AB11329" s="310"/>
    </row>
    <row r="11330" spans="13:28" s="308" customFormat="1" x14ac:dyDescent="0.2">
      <c r="M11330" s="309"/>
      <c r="AB11330" s="310"/>
    </row>
    <row r="11331" spans="13:28" s="308" customFormat="1" x14ac:dyDescent="0.2">
      <c r="M11331" s="309"/>
      <c r="AB11331" s="310"/>
    </row>
    <row r="11332" spans="13:28" s="308" customFormat="1" x14ac:dyDescent="0.2">
      <c r="M11332" s="309"/>
      <c r="AB11332" s="310"/>
    </row>
    <row r="11333" spans="13:28" s="308" customFormat="1" x14ac:dyDescent="0.2">
      <c r="M11333" s="309"/>
      <c r="AB11333" s="310"/>
    </row>
    <row r="11334" spans="13:28" s="308" customFormat="1" x14ac:dyDescent="0.2">
      <c r="M11334" s="309"/>
      <c r="AB11334" s="310"/>
    </row>
    <row r="11335" spans="13:28" s="308" customFormat="1" x14ac:dyDescent="0.2">
      <c r="M11335" s="309"/>
      <c r="AB11335" s="310"/>
    </row>
    <row r="11336" spans="13:28" s="308" customFormat="1" x14ac:dyDescent="0.2">
      <c r="M11336" s="309"/>
      <c r="AB11336" s="310"/>
    </row>
    <row r="11337" spans="13:28" s="308" customFormat="1" x14ac:dyDescent="0.2">
      <c r="M11337" s="309"/>
      <c r="AB11337" s="310"/>
    </row>
    <row r="11338" spans="13:28" s="308" customFormat="1" x14ac:dyDescent="0.2">
      <c r="M11338" s="309"/>
      <c r="AB11338" s="310"/>
    </row>
    <row r="11339" spans="13:28" s="308" customFormat="1" x14ac:dyDescent="0.2">
      <c r="M11339" s="309"/>
      <c r="AB11339" s="310"/>
    </row>
    <row r="11340" spans="13:28" s="308" customFormat="1" x14ac:dyDescent="0.2">
      <c r="M11340" s="309"/>
      <c r="AB11340" s="310"/>
    </row>
    <row r="11341" spans="13:28" s="308" customFormat="1" x14ac:dyDescent="0.2">
      <c r="M11341" s="309"/>
      <c r="AB11341" s="310"/>
    </row>
    <row r="11342" spans="13:28" s="308" customFormat="1" x14ac:dyDescent="0.2">
      <c r="M11342" s="309"/>
      <c r="AB11342" s="310"/>
    </row>
    <row r="11343" spans="13:28" s="308" customFormat="1" x14ac:dyDescent="0.2">
      <c r="M11343" s="309"/>
      <c r="AB11343" s="310"/>
    </row>
    <row r="11344" spans="13:28" s="308" customFormat="1" x14ac:dyDescent="0.2">
      <c r="M11344" s="309"/>
      <c r="AB11344" s="310"/>
    </row>
    <row r="11345" spans="13:28" s="308" customFormat="1" x14ac:dyDescent="0.2">
      <c r="M11345" s="309"/>
      <c r="AB11345" s="310"/>
    </row>
    <row r="11346" spans="13:28" s="308" customFormat="1" x14ac:dyDescent="0.2">
      <c r="M11346" s="309"/>
      <c r="AB11346" s="310"/>
    </row>
    <row r="11347" spans="13:28" s="308" customFormat="1" x14ac:dyDescent="0.2">
      <c r="M11347" s="309"/>
      <c r="AB11347" s="310"/>
    </row>
    <row r="11348" spans="13:28" s="308" customFormat="1" x14ac:dyDescent="0.2">
      <c r="M11348" s="309"/>
      <c r="AB11348" s="310"/>
    </row>
    <row r="11349" spans="13:28" s="308" customFormat="1" x14ac:dyDescent="0.2">
      <c r="M11349" s="309"/>
      <c r="AB11349" s="310"/>
    </row>
    <row r="11350" spans="13:28" s="308" customFormat="1" x14ac:dyDescent="0.2">
      <c r="M11350" s="309"/>
      <c r="AB11350" s="310"/>
    </row>
    <row r="11351" spans="13:28" s="308" customFormat="1" x14ac:dyDescent="0.2">
      <c r="M11351" s="309"/>
      <c r="AB11351" s="310"/>
    </row>
    <row r="11352" spans="13:28" s="308" customFormat="1" x14ac:dyDescent="0.2">
      <c r="M11352" s="309"/>
      <c r="AB11352" s="310"/>
    </row>
    <row r="11353" spans="13:28" s="308" customFormat="1" x14ac:dyDescent="0.2">
      <c r="M11353" s="309"/>
      <c r="AB11353" s="310"/>
    </row>
    <row r="11354" spans="13:28" s="308" customFormat="1" x14ac:dyDescent="0.2">
      <c r="M11354" s="309"/>
      <c r="AB11354" s="310"/>
    </row>
    <row r="11355" spans="13:28" s="308" customFormat="1" x14ac:dyDescent="0.2">
      <c r="M11355" s="309"/>
      <c r="AB11355" s="310"/>
    </row>
    <row r="11356" spans="13:28" s="308" customFormat="1" x14ac:dyDescent="0.2">
      <c r="M11356" s="309"/>
      <c r="AB11356" s="310"/>
    </row>
    <row r="11357" spans="13:28" s="308" customFormat="1" x14ac:dyDescent="0.2">
      <c r="M11357" s="309"/>
      <c r="AB11357" s="310"/>
    </row>
    <row r="11358" spans="13:28" s="308" customFormat="1" x14ac:dyDescent="0.2">
      <c r="M11358" s="309"/>
      <c r="AB11358" s="310"/>
    </row>
    <row r="11359" spans="13:28" s="308" customFormat="1" x14ac:dyDescent="0.2">
      <c r="M11359" s="309"/>
      <c r="AB11359" s="310"/>
    </row>
    <row r="11360" spans="13:28" s="308" customFormat="1" x14ac:dyDescent="0.2">
      <c r="M11360" s="309"/>
      <c r="AB11360" s="310"/>
    </row>
    <row r="11361" spans="13:28" s="308" customFormat="1" x14ac:dyDescent="0.2">
      <c r="M11361" s="309"/>
      <c r="AB11361" s="310"/>
    </row>
    <row r="11362" spans="13:28" s="308" customFormat="1" x14ac:dyDescent="0.2">
      <c r="M11362" s="309"/>
      <c r="AB11362" s="310"/>
    </row>
    <row r="11363" spans="13:28" s="308" customFormat="1" x14ac:dyDescent="0.2">
      <c r="M11363" s="309"/>
      <c r="AB11363" s="310"/>
    </row>
    <row r="11364" spans="13:28" s="308" customFormat="1" x14ac:dyDescent="0.2">
      <c r="M11364" s="309"/>
      <c r="AB11364" s="310"/>
    </row>
    <row r="11365" spans="13:28" s="308" customFormat="1" x14ac:dyDescent="0.2">
      <c r="M11365" s="309"/>
      <c r="AB11365" s="310"/>
    </row>
    <row r="11366" spans="13:28" s="308" customFormat="1" x14ac:dyDescent="0.2">
      <c r="M11366" s="309"/>
      <c r="AB11366" s="310"/>
    </row>
    <row r="11367" spans="13:28" s="308" customFormat="1" x14ac:dyDescent="0.2">
      <c r="M11367" s="309"/>
      <c r="AB11367" s="310"/>
    </row>
    <row r="11368" spans="13:28" s="308" customFormat="1" x14ac:dyDescent="0.2">
      <c r="M11368" s="309"/>
      <c r="AB11368" s="310"/>
    </row>
    <row r="11369" spans="13:28" s="308" customFormat="1" x14ac:dyDescent="0.2">
      <c r="M11369" s="309"/>
      <c r="AB11369" s="310"/>
    </row>
    <row r="11370" spans="13:28" s="308" customFormat="1" x14ac:dyDescent="0.2">
      <c r="M11370" s="309"/>
      <c r="AB11370" s="310"/>
    </row>
    <row r="11371" spans="13:28" s="308" customFormat="1" x14ac:dyDescent="0.2">
      <c r="M11371" s="309"/>
      <c r="AB11371" s="310"/>
    </row>
    <row r="11372" spans="13:28" s="308" customFormat="1" x14ac:dyDescent="0.2">
      <c r="M11372" s="309"/>
      <c r="AB11372" s="310"/>
    </row>
    <row r="11373" spans="13:28" s="308" customFormat="1" x14ac:dyDescent="0.2">
      <c r="M11373" s="309"/>
      <c r="AB11373" s="310"/>
    </row>
    <row r="11374" spans="13:28" s="308" customFormat="1" x14ac:dyDescent="0.2">
      <c r="M11374" s="309"/>
      <c r="AB11374" s="310"/>
    </row>
    <row r="11375" spans="13:28" s="308" customFormat="1" x14ac:dyDescent="0.2">
      <c r="M11375" s="309"/>
      <c r="AB11375" s="310"/>
    </row>
    <row r="11376" spans="13:28" s="308" customFormat="1" x14ac:dyDescent="0.2">
      <c r="M11376" s="309"/>
      <c r="AB11376" s="310"/>
    </row>
    <row r="11377" spans="13:28" s="308" customFormat="1" x14ac:dyDescent="0.2">
      <c r="M11377" s="309"/>
      <c r="AB11377" s="310"/>
    </row>
    <row r="11378" spans="13:28" s="308" customFormat="1" x14ac:dyDescent="0.2">
      <c r="M11378" s="309"/>
      <c r="AB11378" s="310"/>
    </row>
    <row r="11379" spans="13:28" s="308" customFormat="1" x14ac:dyDescent="0.2">
      <c r="M11379" s="309"/>
      <c r="AB11379" s="310"/>
    </row>
    <row r="11380" spans="13:28" s="308" customFormat="1" x14ac:dyDescent="0.2">
      <c r="M11380" s="309"/>
      <c r="AB11380" s="310"/>
    </row>
    <row r="11381" spans="13:28" s="308" customFormat="1" x14ac:dyDescent="0.2">
      <c r="M11381" s="309"/>
      <c r="AB11381" s="310"/>
    </row>
    <row r="11382" spans="13:28" s="308" customFormat="1" x14ac:dyDescent="0.2">
      <c r="M11382" s="309"/>
      <c r="AB11382" s="310"/>
    </row>
    <row r="11383" spans="13:28" s="308" customFormat="1" x14ac:dyDescent="0.2">
      <c r="M11383" s="309"/>
      <c r="AB11383" s="310"/>
    </row>
    <row r="11384" spans="13:28" s="308" customFormat="1" x14ac:dyDescent="0.2">
      <c r="M11384" s="309"/>
      <c r="AB11384" s="310"/>
    </row>
    <row r="11385" spans="13:28" s="308" customFormat="1" x14ac:dyDescent="0.2">
      <c r="M11385" s="309"/>
      <c r="AB11385" s="310"/>
    </row>
    <row r="11386" spans="13:28" s="308" customFormat="1" x14ac:dyDescent="0.2">
      <c r="M11386" s="309"/>
      <c r="AB11386" s="310"/>
    </row>
    <row r="11387" spans="13:28" s="308" customFormat="1" x14ac:dyDescent="0.2">
      <c r="M11387" s="309"/>
      <c r="AB11387" s="310"/>
    </row>
    <row r="11388" spans="13:28" s="308" customFormat="1" x14ac:dyDescent="0.2">
      <c r="M11388" s="309"/>
      <c r="AB11388" s="310"/>
    </row>
    <row r="11389" spans="13:28" s="308" customFormat="1" x14ac:dyDescent="0.2">
      <c r="M11389" s="309"/>
      <c r="AB11389" s="310"/>
    </row>
    <row r="11390" spans="13:28" s="308" customFormat="1" x14ac:dyDescent="0.2">
      <c r="M11390" s="309"/>
      <c r="AB11390" s="310"/>
    </row>
    <row r="11391" spans="13:28" s="308" customFormat="1" x14ac:dyDescent="0.2">
      <c r="M11391" s="309"/>
      <c r="AB11391" s="310"/>
    </row>
    <row r="11392" spans="13:28" s="308" customFormat="1" x14ac:dyDescent="0.2">
      <c r="M11392" s="309"/>
      <c r="AB11392" s="310"/>
    </row>
    <row r="11393" spans="13:28" s="308" customFormat="1" x14ac:dyDescent="0.2">
      <c r="M11393" s="309"/>
      <c r="AB11393" s="310"/>
    </row>
    <row r="11394" spans="13:28" s="308" customFormat="1" x14ac:dyDescent="0.2">
      <c r="M11394" s="309"/>
      <c r="AB11394" s="310"/>
    </row>
    <row r="11395" spans="13:28" s="308" customFormat="1" x14ac:dyDescent="0.2">
      <c r="M11395" s="309"/>
      <c r="AB11395" s="310"/>
    </row>
    <row r="11396" spans="13:28" s="308" customFormat="1" x14ac:dyDescent="0.2">
      <c r="M11396" s="309"/>
      <c r="AB11396" s="310"/>
    </row>
    <row r="11397" spans="13:28" s="308" customFormat="1" x14ac:dyDescent="0.2">
      <c r="M11397" s="309"/>
      <c r="AB11397" s="310"/>
    </row>
    <row r="11398" spans="13:28" s="308" customFormat="1" x14ac:dyDescent="0.2">
      <c r="M11398" s="309"/>
      <c r="AB11398" s="310"/>
    </row>
    <row r="11399" spans="13:28" s="308" customFormat="1" x14ac:dyDescent="0.2">
      <c r="M11399" s="309"/>
      <c r="AB11399" s="310"/>
    </row>
    <row r="11400" spans="13:28" s="308" customFormat="1" x14ac:dyDescent="0.2">
      <c r="M11400" s="309"/>
      <c r="AB11400" s="310"/>
    </row>
    <row r="11401" spans="13:28" s="308" customFormat="1" x14ac:dyDescent="0.2">
      <c r="M11401" s="309"/>
      <c r="AB11401" s="310"/>
    </row>
    <row r="11402" spans="13:28" s="308" customFormat="1" x14ac:dyDescent="0.2">
      <c r="M11402" s="309"/>
      <c r="AB11402" s="310"/>
    </row>
    <row r="11403" spans="13:28" s="308" customFormat="1" x14ac:dyDescent="0.2">
      <c r="M11403" s="309"/>
      <c r="AB11403" s="310"/>
    </row>
    <row r="11404" spans="13:28" s="308" customFormat="1" x14ac:dyDescent="0.2">
      <c r="M11404" s="309"/>
      <c r="AB11404" s="310"/>
    </row>
    <row r="11405" spans="13:28" s="308" customFormat="1" x14ac:dyDescent="0.2">
      <c r="M11405" s="309"/>
      <c r="AB11405" s="310"/>
    </row>
    <row r="11406" spans="13:28" s="308" customFormat="1" x14ac:dyDescent="0.2">
      <c r="M11406" s="309"/>
      <c r="AB11406" s="310"/>
    </row>
    <row r="11407" spans="13:28" s="308" customFormat="1" x14ac:dyDescent="0.2">
      <c r="M11407" s="309"/>
      <c r="AB11407" s="310"/>
    </row>
    <row r="11408" spans="13:28" s="308" customFormat="1" x14ac:dyDescent="0.2">
      <c r="M11408" s="309"/>
      <c r="AB11408" s="310"/>
    </row>
    <row r="11409" spans="13:28" s="308" customFormat="1" x14ac:dyDescent="0.2">
      <c r="M11409" s="309"/>
      <c r="AB11409" s="310"/>
    </row>
    <row r="11410" spans="13:28" s="308" customFormat="1" x14ac:dyDescent="0.2">
      <c r="M11410" s="309"/>
      <c r="AB11410" s="310"/>
    </row>
    <row r="11411" spans="13:28" s="308" customFormat="1" x14ac:dyDescent="0.2">
      <c r="M11411" s="309"/>
      <c r="AB11411" s="310"/>
    </row>
    <row r="11412" spans="13:28" s="308" customFormat="1" x14ac:dyDescent="0.2">
      <c r="M11412" s="309"/>
      <c r="AB11412" s="310"/>
    </row>
    <row r="11413" spans="13:28" s="308" customFormat="1" x14ac:dyDescent="0.2">
      <c r="M11413" s="309"/>
      <c r="AB11413" s="310"/>
    </row>
    <row r="11414" spans="13:28" s="308" customFormat="1" x14ac:dyDescent="0.2">
      <c r="M11414" s="309"/>
      <c r="AB11414" s="310"/>
    </row>
    <row r="11415" spans="13:28" s="308" customFormat="1" x14ac:dyDescent="0.2">
      <c r="M11415" s="309"/>
      <c r="AB11415" s="310"/>
    </row>
    <row r="11416" spans="13:28" s="308" customFormat="1" x14ac:dyDescent="0.2">
      <c r="M11416" s="309"/>
      <c r="AB11416" s="310"/>
    </row>
    <row r="11417" spans="13:28" s="308" customFormat="1" x14ac:dyDescent="0.2">
      <c r="M11417" s="309"/>
      <c r="AB11417" s="310"/>
    </row>
    <row r="11418" spans="13:28" s="308" customFormat="1" x14ac:dyDescent="0.2">
      <c r="M11418" s="309"/>
      <c r="AB11418" s="310"/>
    </row>
    <row r="11419" spans="13:28" s="308" customFormat="1" x14ac:dyDescent="0.2">
      <c r="M11419" s="309"/>
      <c r="AB11419" s="310"/>
    </row>
    <row r="11420" spans="13:28" s="308" customFormat="1" x14ac:dyDescent="0.2">
      <c r="M11420" s="309"/>
      <c r="AB11420" s="310"/>
    </row>
    <row r="11421" spans="13:28" s="308" customFormat="1" x14ac:dyDescent="0.2">
      <c r="M11421" s="309"/>
      <c r="AB11421" s="310"/>
    </row>
    <row r="11422" spans="13:28" s="308" customFormat="1" x14ac:dyDescent="0.2">
      <c r="M11422" s="309"/>
      <c r="AB11422" s="310"/>
    </row>
    <row r="11423" spans="13:28" s="308" customFormat="1" x14ac:dyDescent="0.2">
      <c r="M11423" s="309"/>
      <c r="AB11423" s="310"/>
    </row>
    <row r="11424" spans="13:28" s="308" customFormat="1" x14ac:dyDescent="0.2">
      <c r="M11424" s="309"/>
      <c r="AB11424" s="310"/>
    </row>
    <row r="11425" spans="13:28" s="308" customFormat="1" x14ac:dyDescent="0.2">
      <c r="M11425" s="309"/>
      <c r="AB11425" s="310"/>
    </row>
    <row r="11426" spans="13:28" s="308" customFormat="1" x14ac:dyDescent="0.2">
      <c r="M11426" s="309"/>
      <c r="AB11426" s="310"/>
    </row>
    <row r="11427" spans="13:28" s="308" customFormat="1" x14ac:dyDescent="0.2">
      <c r="M11427" s="309"/>
      <c r="AB11427" s="310"/>
    </row>
    <row r="11428" spans="13:28" s="308" customFormat="1" x14ac:dyDescent="0.2">
      <c r="M11428" s="309"/>
      <c r="AB11428" s="310"/>
    </row>
    <row r="11429" spans="13:28" s="308" customFormat="1" x14ac:dyDescent="0.2">
      <c r="M11429" s="309"/>
      <c r="AB11429" s="310"/>
    </row>
    <row r="11430" spans="13:28" s="308" customFormat="1" x14ac:dyDescent="0.2">
      <c r="M11430" s="309"/>
      <c r="AB11430" s="310"/>
    </row>
    <row r="11431" spans="13:28" s="308" customFormat="1" x14ac:dyDescent="0.2">
      <c r="M11431" s="309"/>
      <c r="AB11431" s="310"/>
    </row>
    <row r="11432" spans="13:28" s="308" customFormat="1" x14ac:dyDescent="0.2">
      <c r="M11432" s="309"/>
      <c r="AB11432" s="310"/>
    </row>
    <row r="11433" spans="13:28" s="308" customFormat="1" x14ac:dyDescent="0.2">
      <c r="M11433" s="309"/>
      <c r="AB11433" s="310"/>
    </row>
    <row r="11434" spans="13:28" s="308" customFormat="1" x14ac:dyDescent="0.2">
      <c r="M11434" s="309"/>
      <c r="AB11434" s="310"/>
    </row>
    <row r="11435" spans="13:28" s="308" customFormat="1" x14ac:dyDescent="0.2">
      <c r="M11435" s="309"/>
      <c r="AB11435" s="310"/>
    </row>
    <row r="11436" spans="13:28" s="308" customFormat="1" x14ac:dyDescent="0.2">
      <c r="M11436" s="309"/>
      <c r="AB11436" s="310"/>
    </row>
    <row r="11437" spans="13:28" s="308" customFormat="1" x14ac:dyDescent="0.2">
      <c r="M11437" s="309"/>
      <c r="AB11437" s="310"/>
    </row>
    <row r="11438" spans="13:28" s="308" customFormat="1" x14ac:dyDescent="0.2">
      <c r="M11438" s="309"/>
      <c r="AB11438" s="310"/>
    </row>
    <row r="11439" spans="13:28" s="308" customFormat="1" x14ac:dyDescent="0.2">
      <c r="M11439" s="309"/>
      <c r="AB11439" s="310"/>
    </row>
    <row r="11440" spans="13:28" s="308" customFormat="1" x14ac:dyDescent="0.2">
      <c r="M11440" s="309"/>
      <c r="AB11440" s="310"/>
    </row>
    <row r="11441" spans="13:28" s="308" customFormat="1" x14ac:dyDescent="0.2">
      <c r="M11441" s="309"/>
      <c r="AB11441" s="310"/>
    </row>
    <row r="11442" spans="13:28" s="308" customFormat="1" x14ac:dyDescent="0.2">
      <c r="M11442" s="309"/>
      <c r="AB11442" s="310"/>
    </row>
    <row r="11443" spans="13:28" s="308" customFormat="1" x14ac:dyDescent="0.2">
      <c r="M11443" s="309"/>
      <c r="AB11443" s="310"/>
    </row>
    <row r="11444" spans="13:28" s="308" customFormat="1" x14ac:dyDescent="0.2">
      <c r="M11444" s="309"/>
      <c r="AB11444" s="310"/>
    </row>
    <row r="11445" spans="13:28" s="308" customFormat="1" x14ac:dyDescent="0.2">
      <c r="M11445" s="309"/>
      <c r="AB11445" s="310"/>
    </row>
    <row r="11446" spans="13:28" s="308" customFormat="1" x14ac:dyDescent="0.2">
      <c r="M11446" s="309"/>
      <c r="AB11446" s="310"/>
    </row>
    <row r="11447" spans="13:28" s="308" customFormat="1" x14ac:dyDescent="0.2">
      <c r="M11447" s="309"/>
      <c r="AB11447" s="310"/>
    </row>
    <row r="11448" spans="13:28" s="308" customFormat="1" x14ac:dyDescent="0.2">
      <c r="M11448" s="309"/>
      <c r="AB11448" s="310"/>
    </row>
    <row r="11449" spans="13:28" s="308" customFormat="1" x14ac:dyDescent="0.2">
      <c r="M11449" s="309"/>
      <c r="AB11449" s="310"/>
    </row>
    <row r="11450" spans="13:28" s="308" customFormat="1" x14ac:dyDescent="0.2">
      <c r="M11450" s="309"/>
      <c r="AB11450" s="310"/>
    </row>
    <row r="11451" spans="13:28" s="308" customFormat="1" x14ac:dyDescent="0.2">
      <c r="M11451" s="309"/>
      <c r="AB11451" s="310"/>
    </row>
    <row r="11452" spans="13:28" s="308" customFormat="1" x14ac:dyDescent="0.2">
      <c r="M11452" s="309"/>
      <c r="AB11452" s="310"/>
    </row>
    <row r="11453" spans="13:28" s="308" customFormat="1" x14ac:dyDescent="0.2">
      <c r="M11453" s="309"/>
      <c r="AB11453" s="310"/>
    </row>
    <row r="11454" spans="13:28" s="308" customFormat="1" x14ac:dyDescent="0.2">
      <c r="M11454" s="309"/>
      <c r="AB11454" s="310"/>
    </row>
    <row r="11455" spans="13:28" s="308" customFormat="1" x14ac:dyDescent="0.2">
      <c r="M11455" s="309"/>
      <c r="AB11455" s="310"/>
    </row>
    <row r="11456" spans="13:28" s="308" customFormat="1" x14ac:dyDescent="0.2">
      <c r="M11456" s="309"/>
      <c r="AB11456" s="310"/>
    </row>
    <row r="11457" spans="13:28" s="308" customFormat="1" x14ac:dyDescent="0.2">
      <c r="M11457" s="309"/>
      <c r="AB11457" s="310"/>
    </row>
    <row r="11458" spans="13:28" s="308" customFormat="1" x14ac:dyDescent="0.2">
      <c r="M11458" s="309"/>
      <c r="AB11458" s="310"/>
    </row>
    <row r="11459" spans="13:28" s="308" customFormat="1" x14ac:dyDescent="0.2">
      <c r="M11459" s="309"/>
      <c r="AB11459" s="310"/>
    </row>
    <row r="11460" spans="13:28" s="308" customFormat="1" x14ac:dyDescent="0.2">
      <c r="M11460" s="309"/>
      <c r="AB11460" s="310"/>
    </row>
    <row r="11461" spans="13:28" s="308" customFormat="1" x14ac:dyDescent="0.2">
      <c r="M11461" s="309"/>
      <c r="AB11461" s="310"/>
    </row>
    <row r="11462" spans="13:28" s="308" customFormat="1" x14ac:dyDescent="0.2">
      <c r="M11462" s="309"/>
      <c r="AB11462" s="310"/>
    </row>
    <row r="11463" spans="13:28" s="308" customFormat="1" x14ac:dyDescent="0.2">
      <c r="M11463" s="309"/>
      <c r="AB11463" s="310"/>
    </row>
    <row r="11464" spans="13:28" s="308" customFormat="1" x14ac:dyDescent="0.2">
      <c r="M11464" s="309"/>
      <c r="AB11464" s="310"/>
    </row>
    <row r="11465" spans="13:28" s="308" customFormat="1" x14ac:dyDescent="0.2">
      <c r="M11465" s="309"/>
      <c r="AB11465" s="310"/>
    </row>
    <row r="11466" spans="13:28" s="308" customFormat="1" x14ac:dyDescent="0.2">
      <c r="M11466" s="309"/>
      <c r="AB11466" s="310"/>
    </row>
    <row r="11467" spans="13:28" s="308" customFormat="1" x14ac:dyDescent="0.2">
      <c r="M11467" s="309"/>
      <c r="AB11467" s="310"/>
    </row>
    <row r="11468" spans="13:28" s="308" customFormat="1" x14ac:dyDescent="0.2">
      <c r="M11468" s="309"/>
      <c r="AB11468" s="310"/>
    </row>
    <row r="11469" spans="13:28" s="308" customFormat="1" x14ac:dyDescent="0.2">
      <c r="M11469" s="309"/>
      <c r="AB11469" s="310"/>
    </row>
    <row r="11470" spans="13:28" s="308" customFormat="1" x14ac:dyDescent="0.2">
      <c r="M11470" s="309"/>
      <c r="AB11470" s="310"/>
    </row>
    <row r="11471" spans="13:28" s="308" customFormat="1" x14ac:dyDescent="0.2">
      <c r="M11471" s="309"/>
      <c r="AB11471" s="310"/>
    </row>
    <row r="11472" spans="13:28" s="308" customFormat="1" x14ac:dyDescent="0.2">
      <c r="M11472" s="309"/>
      <c r="AB11472" s="310"/>
    </row>
    <row r="11473" spans="13:28" s="308" customFormat="1" x14ac:dyDescent="0.2">
      <c r="M11473" s="309"/>
      <c r="AB11473" s="310"/>
    </row>
    <row r="11474" spans="13:28" s="308" customFormat="1" x14ac:dyDescent="0.2">
      <c r="M11474" s="309"/>
      <c r="AB11474" s="310"/>
    </row>
    <row r="11475" spans="13:28" s="308" customFormat="1" x14ac:dyDescent="0.2">
      <c r="M11475" s="309"/>
      <c r="AB11475" s="310"/>
    </row>
    <row r="11476" spans="13:28" s="308" customFormat="1" x14ac:dyDescent="0.2">
      <c r="M11476" s="309"/>
      <c r="AB11476" s="310"/>
    </row>
    <row r="11477" spans="13:28" s="308" customFormat="1" x14ac:dyDescent="0.2">
      <c r="M11477" s="309"/>
      <c r="AB11477" s="310"/>
    </row>
    <row r="11478" spans="13:28" s="308" customFormat="1" x14ac:dyDescent="0.2">
      <c r="M11478" s="309"/>
      <c r="AB11478" s="310"/>
    </row>
    <row r="11479" spans="13:28" s="308" customFormat="1" x14ac:dyDescent="0.2">
      <c r="M11479" s="309"/>
      <c r="AB11479" s="310"/>
    </row>
    <row r="11480" spans="13:28" s="308" customFormat="1" x14ac:dyDescent="0.2">
      <c r="M11480" s="309"/>
      <c r="AB11480" s="310"/>
    </row>
    <row r="11481" spans="13:28" s="308" customFormat="1" x14ac:dyDescent="0.2">
      <c r="M11481" s="309"/>
      <c r="AB11481" s="310"/>
    </row>
    <row r="11482" spans="13:28" s="308" customFormat="1" x14ac:dyDescent="0.2">
      <c r="M11482" s="309"/>
      <c r="AB11482" s="310"/>
    </row>
    <row r="11483" spans="13:28" s="308" customFormat="1" x14ac:dyDescent="0.2">
      <c r="M11483" s="309"/>
      <c r="AB11483" s="310"/>
    </row>
    <row r="11484" spans="13:28" s="308" customFormat="1" x14ac:dyDescent="0.2">
      <c r="M11484" s="309"/>
      <c r="AB11484" s="310"/>
    </row>
    <row r="11485" spans="13:28" s="308" customFormat="1" x14ac:dyDescent="0.2">
      <c r="M11485" s="309"/>
      <c r="AB11485" s="310"/>
    </row>
    <row r="11486" spans="13:28" s="308" customFormat="1" x14ac:dyDescent="0.2">
      <c r="M11486" s="309"/>
      <c r="AB11486" s="310"/>
    </row>
    <row r="11487" spans="13:28" s="308" customFormat="1" x14ac:dyDescent="0.2">
      <c r="M11487" s="309"/>
      <c r="AB11487" s="310"/>
    </row>
    <row r="11488" spans="13:28" s="308" customFormat="1" x14ac:dyDescent="0.2">
      <c r="M11488" s="309"/>
      <c r="AB11488" s="310"/>
    </row>
    <row r="11489" spans="13:28" s="308" customFormat="1" x14ac:dyDescent="0.2">
      <c r="M11489" s="309"/>
      <c r="AB11489" s="310"/>
    </row>
    <row r="11490" spans="13:28" s="308" customFormat="1" x14ac:dyDescent="0.2">
      <c r="M11490" s="309"/>
      <c r="AB11490" s="310"/>
    </row>
    <row r="11491" spans="13:28" s="308" customFormat="1" x14ac:dyDescent="0.2">
      <c r="M11491" s="309"/>
      <c r="AB11491" s="310"/>
    </row>
    <row r="11492" spans="13:28" s="308" customFormat="1" x14ac:dyDescent="0.2">
      <c r="M11492" s="309"/>
      <c r="AB11492" s="310"/>
    </row>
    <row r="11493" spans="13:28" s="308" customFormat="1" x14ac:dyDescent="0.2">
      <c r="M11493" s="309"/>
      <c r="AB11493" s="310"/>
    </row>
    <row r="11494" spans="13:28" s="308" customFormat="1" x14ac:dyDescent="0.2">
      <c r="M11494" s="309"/>
      <c r="AB11494" s="310"/>
    </row>
    <row r="11495" spans="13:28" s="308" customFormat="1" x14ac:dyDescent="0.2">
      <c r="M11495" s="309"/>
      <c r="AB11495" s="310"/>
    </row>
    <row r="11496" spans="13:28" s="308" customFormat="1" x14ac:dyDescent="0.2">
      <c r="M11496" s="309"/>
      <c r="AB11496" s="310"/>
    </row>
    <row r="11497" spans="13:28" s="308" customFormat="1" x14ac:dyDescent="0.2">
      <c r="M11497" s="309"/>
      <c r="AB11497" s="310"/>
    </row>
    <row r="11498" spans="13:28" s="308" customFormat="1" x14ac:dyDescent="0.2">
      <c r="M11498" s="309"/>
      <c r="AB11498" s="310"/>
    </row>
    <row r="11499" spans="13:28" s="308" customFormat="1" x14ac:dyDescent="0.2">
      <c r="M11499" s="309"/>
      <c r="AB11499" s="310"/>
    </row>
    <row r="11500" spans="13:28" s="308" customFormat="1" x14ac:dyDescent="0.2">
      <c r="M11500" s="309"/>
      <c r="AB11500" s="310"/>
    </row>
    <row r="11501" spans="13:28" s="308" customFormat="1" x14ac:dyDescent="0.2">
      <c r="M11501" s="309"/>
      <c r="AB11501" s="310"/>
    </row>
    <row r="11502" spans="13:28" s="308" customFormat="1" x14ac:dyDescent="0.2">
      <c r="M11502" s="309"/>
      <c r="AB11502" s="310"/>
    </row>
    <row r="11503" spans="13:28" s="308" customFormat="1" x14ac:dyDescent="0.2">
      <c r="M11503" s="309"/>
      <c r="AB11503" s="310"/>
    </row>
    <row r="11504" spans="13:28" s="308" customFormat="1" x14ac:dyDescent="0.2">
      <c r="M11504" s="309"/>
      <c r="AB11504" s="310"/>
    </row>
    <row r="11505" spans="13:28" s="308" customFormat="1" x14ac:dyDescent="0.2">
      <c r="M11505" s="309"/>
      <c r="AB11505" s="310"/>
    </row>
    <row r="11506" spans="13:28" s="308" customFormat="1" x14ac:dyDescent="0.2">
      <c r="M11506" s="309"/>
      <c r="AB11506" s="310"/>
    </row>
    <row r="11507" spans="13:28" s="308" customFormat="1" x14ac:dyDescent="0.2">
      <c r="M11507" s="309"/>
      <c r="AB11507" s="310"/>
    </row>
    <row r="11508" spans="13:28" s="308" customFormat="1" x14ac:dyDescent="0.2">
      <c r="M11508" s="309"/>
      <c r="AB11508" s="310"/>
    </row>
    <row r="11509" spans="13:28" s="308" customFormat="1" x14ac:dyDescent="0.2">
      <c r="M11509" s="309"/>
      <c r="AB11509" s="310"/>
    </row>
    <row r="11510" spans="13:28" s="308" customFormat="1" x14ac:dyDescent="0.2">
      <c r="M11510" s="309"/>
      <c r="AB11510" s="310"/>
    </row>
    <row r="11511" spans="13:28" s="308" customFormat="1" x14ac:dyDescent="0.2">
      <c r="M11511" s="309"/>
      <c r="AB11511" s="310"/>
    </row>
    <row r="11512" spans="13:28" s="308" customFormat="1" x14ac:dyDescent="0.2">
      <c r="M11512" s="309"/>
      <c r="AB11512" s="310"/>
    </row>
    <row r="11513" spans="13:28" s="308" customFormat="1" x14ac:dyDescent="0.2">
      <c r="M11513" s="309"/>
      <c r="AB11513" s="310"/>
    </row>
    <row r="11514" spans="13:28" s="308" customFormat="1" x14ac:dyDescent="0.2">
      <c r="M11514" s="309"/>
      <c r="AB11514" s="310"/>
    </row>
    <row r="11515" spans="13:28" s="308" customFormat="1" x14ac:dyDescent="0.2">
      <c r="M11515" s="309"/>
      <c r="AB11515" s="310"/>
    </row>
    <row r="11516" spans="13:28" s="308" customFormat="1" x14ac:dyDescent="0.2">
      <c r="M11516" s="309"/>
      <c r="AB11516" s="310"/>
    </row>
    <row r="11517" spans="13:28" s="308" customFormat="1" x14ac:dyDescent="0.2">
      <c r="M11517" s="309"/>
      <c r="AB11517" s="310"/>
    </row>
    <row r="11518" spans="13:28" s="308" customFormat="1" x14ac:dyDescent="0.2">
      <c r="M11518" s="309"/>
      <c r="AB11518" s="310"/>
    </row>
    <row r="11519" spans="13:28" s="308" customFormat="1" x14ac:dyDescent="0.2">
      <c r="M11519" s="309"/>
      <c r="AB11519" s="310"/>
    </row>
    <row r="11520" spans="13:28" s="308" customFormat="1" x14ac:dyDescent="0.2">
      <c r="M11520" s="309"/>
      <c r="AB11520" s="310"/>
    </row>
    <row r="11521" spans="13:28" s="308" customFormat="1" x14ac:dyDescent="0.2">
      <c r="M11521" s="309"/>
      <c r="AB11521" s="310"/>
    </row>
    <row r="11522" spans="13:28" s="308" customFormat="1" x14ac:dyDescent="0.2">
      <c r="M11522" s="309"/>
      <c r="AB11522" s="310"/>
    </row>
    <row r="11523" spans="13:28" s="308" customFormat="1" x14ac:dyDescent="0.2">
      <c r="M11523" s="309"/>
      <c r="AB11523" s="310"/>
    </row>
    <row r="11524" spans="13:28" s="308" customFormat="1" x14ac:dyDescent="0.2">
      <c r="M11524" s="309"/>
      <c r="AB11524" s="310"/>
    </row>
    <row r="11525" spans="13:28" s="308" customFormat="1" x14ac:dyDescent="0.2">
      <c r="M11525" s="309"/>
      <c r="AB11525" s="310"/>
    </row>
    <row r="11526" spans="13:28" s="308" customFormat="1" x14ac:dyDescent="0.2">
      <c r="M11526" s="309"/>
      <c r="AB11526" s="310"/>
    </row>
    <row r="11527" spans="13:28" s="308" customFormat="1" x14ac:dyDescent="0.2">
      <c r="M11527" s="309"/>
      <c r="AB11527" s="310"/>
    </row>
    <row r="11528" spans="13:28" s="308" customFormat="1" x14ac:dyDescent="0.2">
      <c r="M11528" s="309"/>
      <c r="AB11528" s="310"/>
    </row>
    <row r="11529" spans="13:28" s="308" customFormat="1" x14ac:dyDescent="0.2">
      <c r="M11529" s="309"/>
      <c r="AB11529" s="310"/>
    </row>
    <row r="11530" spans="13:28" s="308" customFormat="1" x14ac:dyDescent="0.2">
      <c r="M11530" s="309"/>
      <c r="AB11530" s="310"/>
    </row>
    <row r="11531" spans="13:28" s="308" customFormat="1" x14ac:dyDescent="0.2">
      <c r="M11531" s="309"/>
      <c r="AB11531" s="310"/>
    </row>
    <row r="11532" spans="13:28" s="308" customFormat="1" x14ac:dyDescent="0.2">
      <c r="M11532" s="309"/>
      <c r="AB11532" s="310"/>
    </row>
    <row r="11533" spans="13:28" s="308" customFormat="1" x14ac:dyDescent="0.2">
      <c r="M11533" s="309"/>
      <c r="AB11533" s="310"/>
    </row>
    <row r="11534" spans="13:28" s="308" customFormat="1" x14ac:dyDescent="0.2">
      <c r="M11534" s="309"/>
      <c r="AB11534" s="310"/>
    </row>
    <row r="11535" spans="13:28" s="308" customFormat="1" x14ac:dyDescent="0.2">
      <c r="M11535" s="309"/>
      <c r="AB11535" s="310"/>
    </row>
    <row r="11536" spans="13:28" s="308" customFormat="1" x14ac:dyDescent="0.2">
      <c r="M11536" s="309"/>
      <c r="AB11536" s="310"/>
    </row>
    <row r="11537" spans="13:28" s="308" customFormat="1" x14ac:dyDescent="0.2">
      <c r="M11537" s="309"/>
      <c r="AB11537" s="310"/>
    </row>
    <row r="11538" spans="13:28" s="308" customFormat="1" x14ac:dyDescent="0.2">
      <c r="M11538" s="309"/>
      <c r="AB11538" s="310"/>
    </row>
    <row r="11539" spans="13:28" s="308" customFormat="1" x14ac:dyDescent="0.2">
      <c r="M11539" s="309"/>
      <c r="AB11539" s="310"/>
    </row>
    <row r="11540" spans="13:28" s="308" customFormat="1" x14ac:dyDescent="0.2">
      <c r="M11540" s="309"/>
      <c r="AB11540" s="310"/>
    </row>
    <row r="11541" spans="13:28" s="308" customFormat="1" x14ac:dyDescent="0.2">
      <c r="M11541" s="309"/>
      <c r="AB11541" s="310"/>
    </row>
    <row r="11542" spans="13:28" s="308" customFormat="1" x14ac:dyDescent="0.2">
      <c r="M11542" s="309"/>
      <c r="AB11542" s="310"/>
    </row>
    <row r="11543" spans="13:28" s="308" customFormat="1" x14ac:dyDescent="0.2">
      <c r="M11543" s="309"/>
      <c r="AB11543" s="310"/>
    </row>
    <row r="11544" spans="13:28" s="308" customFormat="1" x14ac:dyDescent="0.2">
      <c r="M11544" s="309"/>
      <c r="AB11544" s="310"/>
    </row>
    <row r="11545" spans="13:28" s="308" customFormat="1" x14ac:dyDescent="0.2">
      <c r="M11545" s="309"/>
      <c r="AB11545" s="310"/>
    </row>
    <row r="11546" spans="13:28" s="308" customFormat="1" x14ac:dyDescent="0.2">
      <c r="M11546" s="309"/>
      <c r="AB11546" s="310"/>
    </row>
    <row r="11547" spans="13:28" s="308" customFormat="1" x14ac:dyDescent="0.2">
      <c r="M11547" s="309"/>
      <c r="AB11547" s="310"/>
    </row>
    <row r="11548" spans="13:28" s="308" customFormat="1" x14ac:dyDescent="0.2">
      <c r="M11548" s="309"/>
      <c r="AB11548" s="310"/>
    </row>
    <row r="11549" spans="13:28" s="308" customFormat="1" x14ac:dyDescent="0.2">
      <c r="M11549" s="309"/>
      <c r="AB11549" s="310"/>
    </row>
    <row r="11550" spans="13:28" s="308" customFormat="1" x14ac:dyDescent="0.2">
      <c r="M11550" s="309"/>
      <c r="AB11550" s="310"/>
    </row>
    <row r="11551" spans="13:28" s="308" customFormat="1" x14ac:dyDescent="0.2">
      <c r="M11551" s="309"/>
      <c r="AB11551" s="310"/>
    </row>
    <row r="11552" spans="13:28" s="308" customFormat="1" x14ac:dyDescent="0.2">
      <c r="M11552" s="309"/>
      <c r="AB11552" s="310"/>
    </row>
    <row r="11553" spans="13:28" s="308" customFormat="1" x14ac:dyDescent="0.2">
      <c r="M11553" s="309"/>
      <c r="AB11553" s="310"/>
    </row>
    <row r="11554" spans="13:28" s="308" customFormat="1" x14ac:dyDescent="0.2">
      <c r="M11554" s="309"/>
      <c r="AB11554" s="310"/>
    </row>
    <row r="11555" spans="13:28" s="308" customFormat="1" x14ac:dyDescent="0.2">
      <c r="M11555" s="309"/>
      <c r="AB11555" s="310"/>
    </row>
    <row r="11556" spans="13:28" s="308" customFormat="1" x14ac:dyDescent="0.2">
      <c r="M11556" s="309"/>
      <c r="AB11556" s="310"/>
    </row>
    <row r="11557" spans="13:28" s="308" customFormat="1" x14ac:dyDescent="0.2">
      <c r="M11557" s="309"/>
      <c r="AB11557" s="310"/>
    </row>
    <row r="11558" spans="13:28" s="308" customFormat="1" x14ac:dyDescent="0.2">
      <c r="M11558" s="309"/>
      <c r="AB11558" s="310"/>
    </row>
    <row r="11559" spans="13:28" s="308" customFormat="1" x14ac:dyDescent="0.2">
      <c r="M11559" s="309"/>
      <c r="AB11559" s="310"/>
    </row>
    <row r="11560" spans="13:28" s="308" customFormat="1" x14ac:dyDescent="0.2">
      <c r="M11560" s="309"/>
      <c r="AB11560" s="310"/>
    </row>
    <row r="11561" spans="13:28" s="308" customFormat="1" x14ac:dyDescent="0.2">
      <c r="M11561" s="309"/>
      <c r="AB11561" s="310"/>
    </row>
    <row r="11562" spans="13:28" s="308" customFormat="1" x14ac:dyDescent="0.2">
      <c r="M11562" s="309"/>
      <c r="AB11562" s="310"/>
    </row>
    <row r="11563" spans="13:28" s="308" customFormat="1" x14ac:dyDescent="0.2">
      <c r="M11563" s="309"/>
      <c r="AB11563" s="310"/>
    </row>
    <row r="11564" spans="13:28" s="308" customFormat="1" x14ac:dyDescent="0.2">
      <c r="M11564" s="309"/>
      <c r="AB11564" s="310"/>
    </row>
    <row r="11565" spans="13:28" s="308" customFormat="1" x14ac:dyDescent="0.2">
      <c r="M11565" s="309"/>
      <c r="AB11565" s="310"/>
    </row>
    <row r="11566" spans="13:28" s="308" customFormat="1" x14ac:dyDescent="0.2">
      <c r="M11566" s="309"/>
      <c r="AB11566" s="310"/>
    </row>
    <row r="11567" spans="13:28" s="308" customFormat="1" x14ac:dyDescent="0.2">
      <c r="M11567" s="309"/>
      <c r="AB11567" s="310"/>
    </row>
    <row r="11568" spans="13:28" s="308" customFormat="1" x14ac:dyDescent="0.2">
      <c r="M11568" s="309"/>
      <c r="AB11568" s="310"/>
    </row>
    <row r="11569" spans="13:28" s="308" customFormat="1" x14ac:dyDescent="0.2">
      <c r="M11569" s="309"/>
      <c r="AB11569" s="310"/>
    </row>
    <row r="11570" spans="13:28" s="308" customFormat="1" x14ac:dyDescent="0.2">
      <c r="M11570" s="309"/>
      <c r="AB11570" s="310"/>
    </row>
    <row r="11571" spans="13:28" s="308" customFormat="1" x14ac:dyDescent="0.2">
      <c r="M11571" s="309"/>
      <c r="AB11571" s="310"/>
    </row>
    <row r="11572" spans="13:28" s="308" customFormat="1" x14ac:dyDescent="0.2">
      <c r="M11572" s="309"/>
      <c r="AB11572" s="310"/>
    </row>
    <row r="11573" spans="13:28" s="308" customFormat="1" x14ac:dyDescent="0.2">
      <c r="M11573" s="309"/>
      <c r="AB11573" s="310"/>
    </row>
    <row r="11574" spans="13:28" s="308" customFormat="1" x14ac:dyDescent="0.2">
      <c r="M11574" s="309"/>
      <c r="AB11574" s="310"/>
    </row>
    <row r="11575" spans="13:28" s="308" customFormat="1" x14ac:dyDescent="0.2">
      <c r="M11575" s="309"/>
      <c r="AB11575" s="310"/>
    </row>
    <row r="11576" spans="13:28" s="308" customFormat="1" x14ac:dyDescent="0.2">
      <c r="M11576" s="309"/>
      <c r="AB11576" s="310"/>
    </row>
    <row r="11577" spans="13:28" s="308" customFormat="1" x14ac:dyDescent="0.2">
      <c r="M11577" s="309"/>
      <c r="AB11577" s="310"/>
    </row>
    <row r="11578" spans="13:28" s="308" customFormat="1" x14ac:dyDescent="0.2">
      <c r="M11578" s="309"/>
      <c r="AB11578" s="310"/>
    </row>
    <row r="11579" spans="13:28" s="308" customFormat="1" x14ac:dyDescent="0.2">
      <c r="M11579" s="309"/>
      <c r="AB11579" s="310"/>
    </row>
    <row r="11580" spans="13:28" s="308" customFormat="1" x14ac:dyDescent="0.2">
      <c r="M11580" s="309"/>
      <c r="AB11580" s="310"/>
    </row>
    <row r="11581" spans="13:28" s="308" customFormat="1" x14ac:dyDescent="0.2">
      <c r="M11581" s="309"/>
      <c r="AB11581" s="310"/>
    </row>
    <row r="11582" spans="13:28" s="308" customFormat="1" x14ac:dyDescent="0.2">
      <c r="M11582" s="309"/>
      <c r="AB11582" s="310"/>
    </row>
    <row r="11583" spans="13:28" s="308" customFormat="1" x14ac:dyDescent="0.2">
      <c r="M11583" s="309"/>
      <c r="AB11583" s="310"/>
    </row>
    <row r="11584" spans="13:28" s="308" customFormat="1" x14ac:dyDescent="0.2">
      <c r="M11584" s="309"/>
      <c r="AB11584" s="310"/>
    </row>
    <row r="11585" spans="13:28" s="308" customFormat="1" x14ac:dyDescent="0.2">
      <c r="M11585" s="309"/>
      <c r="AB11585" s="310"/>
    </row>
    <row r="11586" spans="13:28" s="308" customFormat="1" x14ac:dyDescent="0.2">
      <c r="M11586" s="309"/>
      <c r="AB11586" s="310"/>
    </row>
    <row r="11587" spans="13:28" s="308" customFormat="1" x14ac:dyDescent="0.2">
      <c r="M11587" s="309"/>
      <c r="AB11587" s="310"/>
    </row>
    <row r="11588" spans="13:28" s="308" customFormat="1" x14ac:dyDescent="0.2">
      <c r="M11588" s="309"/>
      <c r="AB11588" s="310"/>
    </row>
    <row r="11589" spans="13:28" s="308" customFormat="1" x14ac:dyDescent="0.2">
      <c r="M11589" s="309"/>
      <c r="AB11589" s="310"/>
    </row>
    <row r="11590" spans="13:28" s="308" customFormat="1" x14ac:dyDescent="0.2">
      <c r="M11590" s="309"/>
      <c r="AB11590" s="310"/>
    </row>
    <row r="11591" spans="13:28" s="308" customFormat="1" x14ac:dyDescent="0.2">
      <c r="M11591" s="309"/>
      <c r="AB11591" s="310"/>
    </row>
    <row r="11592" spans="13:28" s="308" customFormat="1" x14ac:dyDescent="0.2">
      <c r="M11592" s="309"/>
      <c r="AB11592" s="310"/>
    </row>
    <row r="11593" spans="13:28" s="308" customFormat="1" x14ac:dyDescent="0.2">
      <c r="M11593" s="309"/>
      <c r="AB11593" s="310"/>
    </row>
    <row r="11594" spans="13:28" s="308" customFormat="1" x14ac:dyDescent="0.2">
      <c r="M11594" s="309"/>
      <c r="AB11594" s="310"/>
    </row>
    <row r="11595" spans="13:28" s="308" customFormat="1" x14ac:dyDescent="0.2">
      <c r="M11595" s="309"/>
      <c r="AB11595" s="310"/>
    </row>
    <row r="11596" spans="13:28" s="308" customFormat="1" x14ac:dyDescent="0.2">
      <c r="M11596" s="309"/>
      <c r="AB11596" s="310"/>
    </row>
    <row r="11597" spans="13:28" s="308" customFormat="1" x14ac:dyDescent="0.2">
      <c r="M11597" s="309"/>
      <c r="AB11597" s="310"/>
    </row>
    <row r="11598" spans="13:28" s="308" customFormat="1" x14ac:dyDescent="0.2">
      <c r="M11598" s="309"/>
      <c r="AB11598" s="310"/>
    </row>
    <row r="11599" spans="13:28" s="308" customFormat="1" x14ac:dyDescent="0.2">
      <c r="M11599" s="309"/>
      <c r="AB11599" s="310"/>
    </row>
    <row r="11600" spans="13:28" s="308" customFormat="1" x14ac:dyDescent="0.2">
      <c r="M11600" s="309"/>
      <c r="AB11600" s="310"/>
    </row>
    <row r="11601" spans="13:28" s="308" customFormat="1" x14ac:dyDescent="0.2">
      <c r="M11601" s="309"/>
      <c r="AB11601" s="310"/>
    </row>
    <row r="11602" spans="13:28" s="308" customFormat="1" x14ac:dyDescent="0.2">
      <c r="M11602" s="309"/>
      <c r="AB11602" s="310"/>
    </row>
    <row r="11603" spans="13:28" s="308" customFormat="1" x14ac:dyDescent="0.2">
      <c r="M11603" s="309"/>
      <c r="AB11603" s="310"/>
    </row>
    <row r="11604" spans="13:28" s="308" customFormat="1" x14ac:dyDescent="0.2">
      <c r="M11604" s="309"/>
      <c r="AB11604" s="310"/>
    </row>
    <row r="11605" spans="13:28" s="308" customFormat="1" x14ac:dyDescent="0.2">
      <c r="M11605" s="309"/>
      <c r="AB11605" s="310"/>
    </row>
    <row r="11606" spans="13:28" s="308" customFormat="1" x14ac:dyDescent="0.2">
      <c r="M11606" s="309"/>
      <c r="AB11606" s="310"/>
    </row>
    <row r="11607" spans="13:28" s="308" customFormat="1" x14ac:dyDescent="0.2">
      <c r="M11607" s="309"/>
      <c r="AB11607" s="310"/>
    </row>
    <row r="11608" spans="13:28" s="308" customFormat="1" x14ac:dyDescent="0.2">
      <c r="M11608" s="309"/>
      <c r="AB11608" s="310"/>
    </row>
    <row r="11609" spans="13:28" s="308" customFormat="1" x14ac:dyDescent="0.2">
      <c r="M11609" s="309"/>
      <c r="AB11609" s="310"/>
    </row>
    <row r="11610" spans="13:28" s="308" customFormat="1" x14ac:dyDescent="0.2">
      <c r="M11610" s="309"/>
      <c r="AB11610" s="310"/>
    </row>
    <row r="11611" spans="13:28" s="308" customFormat="1" x14ac:dyDescent="0.2">
      <c r="M11611" s="309"/>
      <c r="AB11611" s="310"/>
    </row>
    <row r="11612" spans="13:28" s="308" customFormat="1" x14ac:dyDescent="0.2">
      <c r="M11612" s="309"/>
      <c r="AB11612" s="310"/>
    </row>
    <row r="11613" spans="13:28" s="308" customFormat="1" x14ac:dyDescent="0.2">
      <c r="M11613" s="309"/>
      <c r="AB11613" s="310"/>
    </row>
    <row r="11614" spans="13:28" s="308" customFormat="1" x14ac:dyDescent="0.2">
      <c r="M11614" s="309"/>
      <c r="AB11614" s="310"/>
    </row>
    <row r="11615" spans="13:28" s="308" customFormat="1" x14ac:dyDescent="0.2">
      <c r="M11615" s="309"/>
      <c r="AB11615" s="310"/>
    </row>
    <row r="11616" spans="13:28" s="308" customFormat="1" x14ac:dyDescent="0.2">
      <c r="M11616" s="309"/>
      <c r="AB11616" s="310"/>
    </row>
    <row r="11617" spans="13:28" s="308" customFormat="1" x14ac:dyDescent="0.2">
      <c r="M11617" s="309"/>
      <c r="AB11617" s="310"/>
    </row>
    <row r="11618" spans="13:28" s="308" customFormat="1" x14ac:dyDescent="0.2">
      <c r="M11618" s="309"/>
      <c r="AB11618" s="310"/>
    </row>
    <row r="11619" spans="13:28" s="308" customFormat="1" x14ac:dyDescent="0.2">
      <c r="M11619" s="309"/>
      <c r="AB11619" s="310"/>
    </row>
    <row r="11620" spans="13:28" s="308" customFormat="1" x14ac:dyDescent="0.2">
      <c r="M11620" s="309"/>
      <c r="AB11620" s="310"/>
    </row>
    <row r="11621" spans="13:28" s="308" customFormat="1" x14ac:dyDescent="0.2">
      <c r="M11621" s="309"/>
      <c r="AB11621" s="310"/>
    </row>
    <row r="11622" spans="13:28" s="308" customFormat="1" x14ac:dyDescent="0.2">
      <c r="M11622" s="309"/>
      <c r="AB11622" s="310"/>
    </row>
    <row r="11623" spans="13:28" s="308" customFormat="1" x14ac:dyDescent="0.2">
      <c r="M11623" s="309"/>
      <c r="AB11623" s="310"/>
    </row>
    <row r="11624" spans="13:28" s="308" customFormat="1" x14ac:dyDescent="0.2">
      <c r="M11624" s="309"/>
      <c r="AB11624" s="310"/>
    </row>
    <row r="11625" spans="13:28" s="308" customFormat="1" x14ac:dyDescent="0.2">
      <c r="M11625" s="309"/>
      <c r="AB11625" s="310"/>
    </row>
    <row r="11626" spans="13:28" s="308" customFormat="1" x14ac:dyDescent="0.2">
      <c r="M11626" s="309"/>
      <c r="AB11626" s="310"/>
    </row>
    <row r="11627" spans="13:28" s="308" customFormat="1" x14ac:dyDescent="0.2">
      <c r="M11627" s="309"/>
      <c r="AB11627" s="310"/>
    </row>
    <row r="11628" spans="13:28" s="308" customFormat="1" x14ac:dyDescent="0.2">
      <c r="M11628" s="309"/>
      <c r="AB11628" s="310"/>
    </row>
    <row r="11629" spans="13:28" s="308" customFormat="1" x14ac:dyDescent="0.2">
      <c r="M11629" s="309"/>
      <c r="AB11629" s="310"/>
    </row>
    <row r="11630" spans="13:28" s="308" customFormat="1" x14ac:dyDescent="0.2">
      <c r="M11630" s="309"/>
      <c r="AB11630" s="310"/>
    </row>
    <row r="11631" spans="13:28" s="308" customFormat="1" x14ac:dyDescent="0.2">
      <c r="M11631" s="309"/>
      <c r="AB11631" s="310"/>
    </row>
    <row r="11632" spans="13:28" s="308" customFormat="1" x14ac:dyDescent="0.2">
      <c r="M11632" s="309"/>
      <c r="AB11632" s="310"/>
    </row>
    <row r="11633" spans="13:28" s="308" customFormat="1" x14ac:dyDescent="0.2">
      <c r="M11633" s="309"/>
      <c r="AB11633" s="310"/>
    </row>
    <row r="11634" spans="13:28" s="308" customFormat="1" x14ac:dyDescent="0.2">
      <c r="M11634" s="309"/>
      <c r="AB11634" s="310"/>
    </row>
    <row r="11635" spans="13:28" s="308" customFormat="1" x14ac:dyDescent="0.2">
      <c r="M11635" s="309"/>
      <c r="AB11635" s="310"/>
    </row>
    <row r="11636" spans="13:28" s="308" customFormat="1" x14ac:dyDescent="0.2">
      <c r="M11636" s="309"/>
      <c r="AB11636" s="310"/>
    </row>
    <row r="11637" spans="13:28" s="308" customFormat="1" x14ac:dyDescent="0.2">
      <c r="M11637" s="309"/>
      <c r="AB11637" s="310"/>
    </row>
    <row r="11638" spans="13:28" s="308" customFormat="1" x14ac:dyDescent="0.2">
      <c r="M11638" s="309"/>
      <c r="AB11638" s="310"/>
    </row>
    <row r="11639" spans="13:28" s="308" customFormat="1" x14ac:dyDescent="0.2">
      <c r="M11639" s="309"/>
      <c r="AB11639" s="310"/>
    </row>
    <row r="11640" spans="13:28" s="308" customFormat="1" x14ac:dyDescent="0.2">
      <c r="M11640" s="309"/>
      <c r="AB11640" s="310"/>
    </row>
    <row r="11641" spans="13:28" s="308" customFormat="1" x14ac:dyDescent="0.2">
      <c r="M11641" s="309"/>
      <c r="AB11641" s="310"/>
    </row>
    <row r="11642" spans="13:28" s="308" customFormat="1" x14ac:dyDescent="0.2">
      <c r="M11642" s="309"/>
      <c r="AB11642" s="310"/>
    </row>
    <row r="11643" spans="13:28" s="308" customFormat="1" x14ac:dyDescent="0.2">
      <c r="M11643" s="309"/>
      <c r="AB11643" s="310"/>
    </row>
    <row r="11644" spans="13:28" s="308" customFormat="1" x14ac:dyDescent="0.2">
      <c r="M11644" s="309"/>
      <c r="AB11644" s="310"/>
    </row>
    <row r="11645" spans="13:28" s="308" customFormat="1" x14ac:dyDescent="0.2">
      <c r="M11645" s="309"/>
      <c r="AB11645" s="310"/>
    </row>
    <row r="11646" spans="13:28" s="308" customFormat="1" x14ac:dyDescent="0.2">
      <c r="M11646" s="309"/>
      <c r="AB11646" s="310"/>
    </row>
    <row r="11647" spans="13:28" s="308" customFormat="1" x14ac:dyDescent="0.2">
      <c r="M11647" s="309"/>
      <c r="AB11647" s="310"/>
    </row>
    <row r="11648" spans="13:28" s="308" customFormat="1" x14ac:dyDescent="0.2">
      <c r="M11648" s="309"/>
      <c r="AB11648" s="310"/>
    </row>
    <row r="11649" spans="13:28" s="308" customFormat="1" x14ac:dyDescent="0.2">
      <c r="M11649" s="309"/>
      <c r="AB11649" s="310"/>
    </row>
    <row r="11650" spans="13:28" s="308" customFormat="1" x14ac:dyDescent="0.2">
      <c r="M11650" s="309"/>
      <c r="AB11650" s="310"/>
    </row>
    <row r="11651" spans="13:28" s="308" customFormat="1" x14ac:dyDescent="0.2">
      <c r="M11651" s="309"/>
      <c r="AB11651" s="310"/>
    </row>
    <row r="11652" spans="13:28" s="308" customFormat="1" x14ac:dyDescent="0.2">
      <c r="M11652" s="309"/>
      <c r="AB11652" s="310"/>
    </row>
    <row r="11653" spans="13:28" s="308" customFormat="1" x14ac:dyDescent="0.2">
      <c r="M11653" s="309"/>
      <c r="AB11653" s="310"/>
    </row>
    <row r="11654" spans="13:28" s="308" customFormat="1" x14ac:dyDescent="0.2">
      <c r="M11654" s="309"/>
      <c r="AB11654" s="310"/>
    </row>
    <row r="11655" spans="13:28" s="308" customFormat="1" x14ac:dyDescent="0.2">
      <c r="M11655" s="309"/>
      <c r="AB11655" s="310"/>
    </row>
    <row r="11656" spans="13:28" s="308" customFormat="1" x14ac:dyDescent="0.2">
      <c r="M11656" s="309"/>
      <c r="AB11656" s="310"/>
    </row>
    <row r="11657" spans="13:28" s="308" customFormat="1" x14ac:dyDescent="0.2">
      <c r="M11657" s="309"/>
      <c r="AB11657" s="310"/>
    </row>
    <row r="11658" spans="13:28" s="308" customFormat="1" x14ac:dyDescent="0.2">
      <c r="M11658" s="309"/>
      <c r="AB11658" s="310"/>
    </row>
    <row r="11659" spans="13:28" s="308" customFormat="1" x14ac:dyDescent="0.2">
      <c r="M11659" s="309"/>
      <c r="AB11659" s="310"/>
    </row>
    <row r="11660" spans="13:28" s="308" customFormat="1" x14ac:dyDescent="0.2">
      <c r="M11660" s="309"/>
      <c r="AB11660" s="310"/>
    </row>
    <row r="11661" spans="13:28" s="308" customFormat="1" x14ac:dyDescent="0.2">
      <c r="M11661" s="309"/>
      <c r="AB11661" s="310"/>
    </row>
    <row r="11662" spans="13:28" s="308" customFormat="1" x14ac:dyDescent="0.2">
      <c r="M11662" s="309"/>
      <c r="AB11662" s="310"/>
    </row>
    <row r="11663" spans="13:28" s="308" customFormat="1" x14ac:dyDescent="0.2">
      <c r="M11663" s="309"/>
      <c r="AB11663" s="310"/>
    </row>
    <row r="11664" spans="13:28" s="308" customFormat="1" x14ac:dyDescent="0.2">
      <c r="M11664" s="309"/>
      <c r="AB11664" s="310"/>
    </row>
    <row r="11665" spans="13:28" s="308" customFormat="1" x14ac:dyDescent="0.2">
      <c r="M11665" s="309"/>
      <c r="AB11665" s="310"/>
    </row>
    <row r="11666" spans="13:28" s="308" customFormat="1" x14ac:dyDescent="0.2">
      <c r="M11666" s="309"/>
      <c r="AB11666" s="310"/>
    </row>
    <row r="11667" spans="13:28" s="308" customFormat="1" x14ac:dyDescent="0.2">
      <c r="M11667" s="309"/>
      <c r="AB11667" s="310"/>
    </row>
    <row r="11668" spans="13:28" s="308" customFormat="1" x14ac:dyDescent="0.2">
      <c r="M11668" s="309"/>
      <c r="AB11668" s="310"/>
    </row>
    <row r="11669" spans="13:28" s="308" customFormat="1" x14ac:dyDescent="0.2">
      <c r="M11669" s="309"/>
      <c r="AB11669" s="310"/>
    </row>
    <row r="11670" spans="13:28" s="308" customFormat="1" x14ac:dyDescent="0.2">
      <c r="M11670" s="309"/>
      <c r="AB11670" s="310"/>
    </row>
    <row r="11671" spans="13:28" s="308" customFormat="1" x14ac:dyDescent="0.2">
      <c r="M11671" s="309"/>
      <c r="AB11671" s="310"/>
    </row>
    <row r="11672" spans="13:28" s="308" customFormat="1" x14ac:dyDescent="0.2">
      <c r="M11672" s="309"/>
      <c r="AB11672" s="310"/>
    </row>
    <row r="11673" spans="13:28" s="308" customFormat="1" x14ac:dyDescent="0.2">
      <c r="M11673" s="309"/>
      <c r="AB11673" s="310"/>
    </row>
    <row r="11674" spans="13:28" s="308" customFormat="1" x14ac:dyDescent="0.2">
      <c r="M11674" s="309"/>
      <c r="AB11674" s="310"/>
    </row>
    <row r="11675" spans="13:28" s="308" customFormat="1" x14ac:dyDescent="0.2">
      <c r="M11675" s="309"/>
      <c r="AB11675" s="310"/>
    </row>
    <row r="11676" spans="13:28" s="308" customFormat="1" x14ac:dyDescent="0.2">
      <c r="M11676" s="309"/>
      <c r="AB11676" s="310"/>
    </row>
    <row r="11677" spans="13:28" s="308" customFormat="1" x14ac:dyDescent="0.2">
      <c r="M11677" s="309"/>
      <c r="AB11677" s="310"/>
    </row>
    <row r="11678" spans="13:28" s="308" customFormat="1" x14ac:dyDescent="0.2">
      <c r="M11678" s="309"/>
      <c r="AB11678" s="310"/>
    </row>
    <row r="11679" spans="13:28" s="308" customFormat="1" x14ac:dyDescent="0.2">
      <c r="M11679" s="309"/>
      <c r="AB11679" s="310"/>
    </row>
    <row r="11680" spans="13:28" s="308" customFormat="1" x14ac:dyDescent="0.2">
      <c r="M11680" s="309"/>
      <c r="AB11680" s="310"/>
    </row>
    <row r="11681" spans="13:28" s="308" customFormat="1" x14ac:dyDescent="0.2">
      <c r="M11681" s="309"/>
      <c r="AB11681" s="310"/>
    </row>
    <row r="11682" spans="13:28" s="308" customFormat="1" x14ac:dyDescent="0.2">
      <c r="M11682" s="309"/>
      <c r="AB11682" s="310"/>
    </row>
    <row r="11683" spans="13:28" s="308" customFormat="1" x14ac:dyDescent="0.2">
      <c r="M11683" s="309"/>
      <c r="AB11683" s="310"/>
    </row>
    <row r="11684" spans="13:28" s="308" customFormat="1" x14ac:dyDescent="0.2">
      <c r="M11684" s="309"/>
      <c r="AB11684" s="310"/>
    </row>
    <row r="11685" spans="13:28" s="308" customFormat="1" x14ac:dyDescent="0.2">
      <c r="M11685" s="309"/>
      <c r="AB11685" s="310"/>
    </row>
    <row r="11686" spans="13:28" s="308" customFormat="1" x14ac:dyDescent="0.2">
      <c r="M11686" s="309"/>
      <c r="AB11686" s="310"/>
    </row>
    <row r="11687" spans="13:28" s="308" customFormat="1" x14ac:dyDescent="0.2">
      <c r="M11687" s="309"/>
      <c r="AB11687" s="310"/>
    </row>
    <row r="11688" spans="13:28" s="308" customFormat="1" x14ac:dyDescent="0.2">
      <c r="M11688" s="309"/>
      <c r="AB11688" s="310"/>
    </row>
    <row r="11689" spans="13:28" s="308" customFormat="1" x14ac:dyDescent="0.2">
      <c r="M11689" s="309"/>
      <c r="AB11689" s="310"/>
    </row>
    <row r="11690" spans="13:28" s="308" customFormat="1" x14ac:dyDescent="0.2">
      <c r="M11690" s="309"/>
      <c r="AB11690" s="310"/>
    </row>
    <row r="11691" spans="13:28" s="308" customFormat="1" x14ac:dyDescent="0.2">
      <c r="M11691" s="309"/>
      <c r="AB11691" s="310"/>
    </row>
    <row r="11692" spans="13:28" s="308" customFormat="1" x14ac:dyDescent="0.2">
      <c r="M11692" s="309"/>
      <c r="AB11692" s="310"/>
    </row>
    <row r="11693" spans="13:28" s="308" customFormat="1" x14ac:dyDescent="0.2">
      <c r="M11693" s="309"/>
      <c r="AB11693" s="310"/>
    </row>
    <row r="11694" spans="13:28" s="308" customFormat="1" x14ac:dyDescent="0.2">
      <c r="M11694" s="309"/>
      <c r="AB11694" s="310"/>
    </row>
    <row r="11695" spans="13:28" s="308" customFormat="1" x14ac:dyDescent="0.2">
      <c r="M11695" s="309"/>
      <c r="AB11695" s="310"/>
    </row>
    <row r="11696" spans="13:28" s="308" customFormat="1" x14ac:dyDescent="0.2">
      <c r="M11696" s="309"/>
      <c r="AB11696" s="310"/>
    </row>
    <row r="11697" spans="13:28" s="308" customFormat="1" x14ac:dyDescent="0.2">
      <c r="M11697" s="309"/>
      <c r="AB11697" s="310"/>
    </row>
    <row r="11698" spans="13:28" s="308" customFormat="1" x14ac:dyDescent="0.2">
      <c r="M11698" s="309"/>
      <c r="AB11698" s="310"/>
    </row>
    <row r="11699" spans="13:28" s="308" customFormat="1" x14ac:dyDescent="0.2">
      <c r="M11699" s="309"/>
      <c r="AB11699" s="310"/>
    </row>
    <row r="11700" spans="13:28" s="308" customFormat="1" x14ac:dyDescent="0.2">
      <c r="M11700" s="309"/>
      <c r="AB11700" s="310"/>
    </row>
    <row r="11701" spans="13:28" s="308" customFormat="1" x14ac:dyDescent="0.2">
      <c r="M11701" s="309"/>
      <c r="AB11701" s="310"/>
    </row>
    <row r="11702" spans="13:28" s="308" customFormat="1" x14ac:dyDescent="0.2">
      <c r="M11702" s="309"/>
      <c r="AB11702" s="310"/>
    </row>
    <row r="11703" spans="13:28" s="308" customFormat="1" x14ac:dyDescent="0.2">
      <c r="M11703" s="309"/>
      <c r="AB11703" s="310"/>
    </row>
    <row r="11704" spans="13:28" s="308" customFormat="1" x14ac:dyDescent="0.2">
      <c r="M11704" s="309"/>
      <c r="AB11704" s="310"/>
    </row>
    <row r="11705" spans="13:28" s="308" customFormat="1" x14ac:dyDescent="0.2">
      <c r="M11705" s="309"/>
      <c r="AB11705" s="310"/>
    </row>
    <row r="11706" spans="13:28" s="308" customFormat="1" x14ac:dyDescent="0.2">
      <c r="M11706" s="309"/>
      <c r="AB11706" s="310"/>
    </row>
    <row r="11707" spans="13:28" s="308" customFormat="1" x14ac:dyDescent="0.2">
      <c r="M11707" s="309"/>
      <c r="AB11707" s="310"/>
    </row>
    <row r="11708" spans="13:28" s="308" customFormat="1" x14ac:dyDescent="0.2">
      <c r="M11708" s="309"/>
      <c r="AB11708" s="310"/>
    </row>
    <row r="11709" spans="13:28" s="308" customFormat="1" x14ac:dyDescent="0.2">
      <c r="M11709" s="309"/>
      <c r="AB11709" s="310"/>
    </row>
    <row r="11710" spans="13:28" s="308" customFormat="1" x14ac:dyDescent="0.2">
      <c r="M11710" s="309"/>
      <c r="AB11710" s="310"/>
    </row>
    <row r="11711" spans="13:28" s="308" customFormat="1" x14ac:dyDescent="0.2">
      <c r="M11711" s="309"/>
      <c r="AB11711" s="310"/>
    </row>
    <row r="11712" spans="13:28" s="308" customFormat="1" x14ac:dyDescent="0.2">
      <c r="M11712" s="309"/>
      <c r="AB11712" s="310"/>
    </row>
    <row r="11713" spans="13:28" s="308" customFormat="1" x14ac:dyDescent="0.2">
      <c r="M11713" s="309"/>
      <c r="AB11713" s="310"/>
    </row>
    <row r="11714" spans="13:28" s="308" customFormat="1" x14ac:dyDescent="0.2">
      <c r="M11714" s="309"/>
      <c r="AB11714" s="310"/>
    </row>
    <row r="11715" spans="13:28" s="308" customFormat="1" x14ac:dyDescent="0.2">
      <c r="M11715" s="309"/>
      <c r="AB11715" s="310"/>
    </row>
    <row r="11716" spans="13:28" s="308" customFormat="1" x14ac:dyDescent="0.2">
      <c r="M11716" s="309"/>
      <c r="AB11716" s="310"/>
    </row>
    <row r="11717" spans="13:28" s="308" customFormat="1" x14ac:dyDescent="0.2">
      <c r="M11717" s="309"/>
      <c r="AB11717" s="310"/>
    </row>
    <row r="11718" spans="13:28" s="308" customFormat="1" x14ac:dyDescent="0.2">
      <c r="M11718" s="309"/>
      <c r="AB11718" s="310"/>
    </row>
    <row r="11719" spans="13:28" s="308" customFormat="1" x14ac:dyDescent="0.2">
      <c r="M11719" s="309"/>
      <c r="AB11719" s="310"/>
    </row>
    <row r="11720" spans="13:28" s="308" customFormat="1" x14ac:dyDescent="0.2">
      <c r="M11720" s="309"/>
      <c r="AB11720" s="310"/>
    </row>
    <row r="11721" spans="13:28" s="308" customFormat="1" x14ac:dyDescent="0.2">
      <c r="M11721" s="309"/>
      <c r="AB11721" s="310"/>
    </row>
    <row r="11722" spans="13:28" s="308" customFormat="1" x14ac:dyDescent="0.2">
      <c r="M11722" s="309"/>
      <c r="AB11722" s="310"/>
    </row>
    <row r="11723" spans="13:28" s="308" customFormat="1" x14ac:dyDescent="0.2">
      <c r="M11723" s="309"/>
      <c r="AB11723" s="310"/>
    </row>
    <row r="11724" spans="13:28" s="308" customFormat="1" x14ac:dyDescent="0.2">
      <c r="M11724" s="309"/>
      <c r="AB11724" s="310"/>
    </row>
    <row r="11725" spans="13:28" s="308" customFormat="1" x14ac:dyDescent="0.2">
      <c r="M11725" s="309"/>
      <c r="AB11725" s="310"/>
    </row>
    <row r="11726" spans="13:28" s="308" customFormat="1" x14ac:dyDescent="0.2">
      <c r="M11726" s="309"/>
      <c r="AB11726" s="310"/>
    </row>
    <row r="11727" spans="13:28" s="308" customFormat="1" x14ac:dyDescent="0.2">
      <c r="M11727" s="309"/>
      <c r="AB11727" s="310"/>
    </row>
    <row r="11728" spans="13:28" s="308" customFormat="1" x14ac:dyDescent="0.2">
      <c r="M11728" s="309"/>
      <c r="AB11728" s="310"/>
    </row>
    <row r="11729" spans="13:28" s="308" customFormat="1" x14ac:dyDescent="0.2">
      <c r="M11729" s="309"/>
      <c r="AB11729" s="310"/>
    </row>
    <row r="11730" spans="13:28" s="308" customFormat="1" x14ac:dyDescent="0.2">
      <c r="M11730" s="309"/>
      <c r="AB11730" s="310"/>
    </row>
    <row r="11731" spans="13:28" s="308" customFormat="1" x14ac:dyDescent="0.2">
      <c r="M11731" s="309"/>
      <c r="AB11731" s="310"/>
    </row>
    <row r="11732" spans="13:28" s="308" customFormat="1" x14ac:dyDescent="0.2">
      <c r="M11732" s="309"/>
      <c r="AB11732" s="310"/>
    </row>
    <row r="11733" spans="13:28" s="308" customFormat="1" x14ac:dyDescent="0.2">
      <c r="M11733" s="309"/>
      <c r="AB11733" s="310"/>
    </row>
    <row r="11734" spans="13:28" s="308" customFormat="1" x14ac:dyDescent="0.2">
      <c r="M11734" s="309"/>
      <c r="AB11734" s="310"/>
    </row>
    <row r="11735" spans="13:28" s="308" customFormat="1" x14ac:dyDescent="0.2">
      <c r="M11735" s="309"/>
      <c r="AB11735" s="310"/>
    </row>
    <row r="11736" spans="13:28" s="308" customFormat="1" x14ac:dyDescent="0.2">
      <c r="M11736" s="309"/>
      <c r="AB11736" s="310"/>
    </row>
    <row r="11737" spans="13:28" s="308" customFormat="1" x14ac:dyDescent="0.2">
      <c r="M11737" s="309"/>
      <c r="AB11737" s="310"/>
    </row>
    <row r="11738" spans="13:28" s="308" customFormat="1" x14ac:dyDescent="0.2">
      <c r="M11738" s="309"/>
      <c r="AB11738" s="310"/>
    </row>
    <row r="11739" spans="13:28" s="308" customFormat="1" x14ac:dyDescent="0.2">
      <c r="M11739" s="309"/>
      <c r="AB11739" s="310"/>
    </row>
    <row r="11740" spans="13:28" s="308" customFormat="1" x14ac:dyDescent="0.2">
      <c r="M11740" s="309"/>
      <c r="AB11740" s="310"/>
    </row>
    <row r="11741" spans="13:28" s="308" customFormat="1" x14ac:dyDescent="0.2">
      <c r="M11741" s="309"/>
      <c r="AB11741" s="310"/>
    </row>
    <row r="11742" spans="13:28" s="308" customFormat="1" x14ac:dyDescent="0.2">
      <c r="M11742" s="309"/>
      <c r="AB11742" s="310"/>
    </row>
    <row r="11743" spans="13:28" s="308" customFormat="1" x14ac:dyDescent="0.2">
      <c r="M11743" s="309"/>
      <c r="AB11743" s="310"/>
    </row>
    <row r="11744" spans="13:28" s="308" customFormat="1" x14ac:dyDescent="0.2">
      <c r="M11744" s="309"/>
      <c r="AB11744" s="310"/>
    </row>
    <row r="11745" spans="13:28" s="308" customFormat="1" x14ac:dyDescent="0.2">
      <c r="M11745" s="309"/>
      <c r="AB11745" s="310"/>
    </row>
    <row r="11746" spans="13:28" s="308" customFormat="1" x14ac:dyDescent="0.2">
      <c r="M11746" s="309"/>
      <c r="AB11746" s="310"/>
    </row>
    <row r="11747" spans="13:28" s="308" customFormat="1" x14ac:dyDescent="0.2">
      <c r="M11747" s="309"/>
      <c r="AB11747" s="310"/>
    </row>
    <row r="11748" spans="13:28" s="308" customFormat="1" x14ac:dyDescent="0.2">
      <c r="M11748" s="309"/>
      <c r="AB11748" s="310"/>
    </row>
    <row r="11749" spans="13:28" s="308" customFormat="1" x14ac:dyDescent="0.2">
      <c r="M11749" s="309"/>
      <c r="AB11749" s="310"/>
    </row>
    <row r="11750" spans="13:28" s="308" customFormat="1" x14ac:dyDescent="0.2">
      <c r="M11750" s="309"/>
      <c r="AB11750" s="310"/>
    </row>
    <row r="11751" spans="13:28" s="308" customFormat="1" x14ac:dyDescent="0.2">
      <c r="M11751" s="309"/>
      <c r="AB11751" s="310"/>
    </row>
    <row r="11752" spans="13:28" s="308" customFormat="1" x14ac:dyDescent="0.2">
      <c r="M11752" s="309"/>
      <c r="AB11752" s="310"/>
    </row>
    <row r="11753" spans="13:28" s="308" customFormat="1" x14ac:dyDescent="0.2">
      <c r="M11753" s="309"/>
      <c r="AB11753" s="310"/>
    </row>
    <row r="11754" spans="13:28" s="308" customFormat="1" x14ac:dyDescent="0.2">
      <c r="M11754" s="309"/>
      <c r="AB11754" s="310"/>
    </row>
    <row r="11755" spans="13:28" s="308" customFormat="1" x14ac:dyDescent="0.2">
      <c r="M11755" s="309"/>
      <c r="AB11755" s="310"/>
    </row>
    <row r="11756" spans="13:28" s="308" customFormat="1" x14ac:dyDescent="0.2">
      <c r="M11756" s="309"/>
      <c r="AB11756" s="310"/>
    </row>
    <row r="11757" spans="13:28" s="308" customFormat="1" x14ac:dyDescent="0.2">
      <c r="M11757" s="309"/>
      <c r="AB11757" s="310"/>
    </row>
    <row r="11758" spans="13:28" s="308" customFormat="1" x14ac:dyDescent="0.2">
      <c r="M11758" s="309"/>
      <c r="AB11758" s="310"/>
    </row>
    <row r="11759" spans="13:28" s="308" customFormat="1" x14ac:dyDescent="0.2">
      <c r="M11759" s="309"/>
      <c r="AB11759" s="310"/>
    </row>
    <row r="11760" spans="13:28" s="308" customFormat="1" x14ac:dyDescent="0.2">
      <c r="M11760" s="309"/>
      <c r="AB11760" s="310"/>
    </row>
    <row r="11761" spans="13:28" s="308" customFormat="1" x14ac:dyDescent="0.2">
      <c r="M11761" s="309"/>
      <c r="AB11761" s="310"/>
    </row>
    <row r="11762" spans="13:28" s="308" customFormat="1" x14ac:dyDescent="0.2">
      <c r="M11762" s="309"/>
      <c r="AB11762" s="310"/>
    </row>
    <row r="11763" spans="13:28" s="308" customFormat="1" x14ac:dyDescent="0.2">
      <c r="M11763" s="309"/>
      <c r="AB11763" s="310"/>
    </row>
    <row r="11764" spans="13:28" s="308" customFormat="1" x14ac:dyDescent="0.2">
      <c r="M11764" s="309"/>
      <c r="AB11764" s="310"/>
    </row>
    <row r="11765" spans="13:28" s="308" customFormat="1" x14ac:dyDescent="0.2">
      <c r="M11765" s="309"/>
      <c r="AB11765" s="310"/>
    </row>
    <row r="11766" spans="13:28" s="308" customFormat="1" x14ac:dyDescent="0.2">
      <c r="M11766" s="309"/>
      <c r="AB11766" s="310"/>
    </row>
    <row r="11767" spans="13:28" s="308" customFormat="1" x14ac:dyDescent="0.2">
      <c r="M11767" s="309"/>
      <c r="AB11767" s="310"/>
    </row>
    <row r="11768" spans="13:28" s="308" customFormat="1" x14ac:dyDescent="0.2">
      <c r="M11768" s="309"/>
      <c r="AB11768" s="310"/>
    </row>
    <row r="11769" spans="13:28" s="308" customFormat="1" x14ac:dyDescent="0.2">
      <c r="M11769" s="309"/>
      <c r="AB11769" s="310"/>
    </row>
    <row r="11770" spans="13:28" s="308" customFormat="1" x14ac:dyDescent="0.2">
      <c r="M11770" s="309"/>
      <c r="AB11770" s="310"/>
    </row>
    <row r="11771" spans="13:28" s="308" customFormat="1" x14ac:dyDescent="0.2">
      <c r="M11771" s="309"/>
      <c r="AB11771" s="310"/>
    </row>
    <row r="11772" spans="13:28" s="308" customFormat="1" x14ac:dyDescent="0.2">
      <c r="M11772" s="309"/>
      <c r="AB11772" s="310"/>
    </row>
    <row r="11773" spans="13:28" s="308" customFormat="1" x14ac:dyDescent="0.2">
      <c r="M11773" s="309"/>
      <c r="AB11773" s="310"/>
    </row>
    <row r="11774" spans="13:28" s="308" customFormat="1" x14ac:dyDescent="0.2">
      <c r="M11774" s="309"/>
      <c r="AB11774" s="310"/>
    </row>
    <row r="11775" spans="13:28" s="308" customFormat="1" x14ac:dyDescent="0.2">
      <c r="M11775" s="309"/>
      <c r="AB11775" s="310"/>
    </row>
    <row r="11776" spans="13:28" s="308" customFormat="1" x14ac:dyDescent="0.2">
      <c r="M11776" s="309"/>
      <c r="AB11776" s="310"/>
    </row>
    <row r="11777" spans="13:28" s="308" customFormat="1" x14ac:dyDescent="0.2">
      <c r="M11777" s="309"/>
      <c r="AB11777" s="310"/>
    </row>
    <row r="11778" spans="13:28" s="308" customFormat="1" x14ac:dyDescent="0.2">
      <c r="M11778" s="309"/>
      <c r="AB11778" s="310"/>
    </row>
    <row r="11779" spans="13:28" s="308" customFormat="1" x14ac:dyDescent="0.2">
      <c r="M11779" s="309"/>
      <c r="AB11779" s="310"/>
    </row>
    <row r="11780" spans="13:28" s="308" customFormat="1" x14ac:dyDescent="0.2">
      <c r="M11780" s="309"/>
      <c r="AB11780" s="310"/>
    </row>
    <row r="11781" spans="13:28" s="308" customFormat="1" x14ac:dyDescent="0.2">
      <c r="M11781" s="309"/>
      <c r="AB11781" s="310"/>
    </row>
    <row r="11782" spans="13:28" s="308" customFormat="1" x14ac:dyDescent="0.2">
      <c r="M11782" s="309"/>
      <c r="AB11782" s="310"/>
    </row>
    <row r="11783" spans="13:28" s="308" customFormat="1" x14ac:dyDescent="0.2">
      <c r="M11783" s="309"/>
      <c r="AB11783" s="310"/>
    </row>
    <row r="11784" spans="13:28" s="308" customFormat="1" x14ac:dyDescent="0.2">
      <c r="M11784" s="309"/>
      <c r="AB11784" s="310"/>
    </row>
    <row r="11785" spans="13:28" s="308" customFormat="1" x14ac:dyDescent="0.2">
      <c r="M11785" s="309"/>
      <c r="AB11785" s="310"/>
    </row>
    <row r="11786" spans="13:28" s="308" customFormat="1" x14ac:dyDescent="0.2">
      <c r="M11786" s="309"/>
      <c r="AB11786" s="310"/>
    </row>
    <row r="11787" spans="13:28" s="308" customFormat="1" x14ac:dyDescent="0.2">
      <c r="M11787" s="309"/>
      <c r="AB11787" s="310"/>
    </row>
    <row r="11788" spans="13:28" s="308" customFormat="1" x14ac:dyDescent="0.2">
      <c r="M11788" s="309"/>
      <c r="AB11788" s="310"/>
    </row>
    <row r="11789" spans="13:28" s="308" customFormat="1" x14ac:dyDescent="0.2">
      <c r="M11789" s="309"/>
      <c r="AB11789" s="310"/>
    </row>
    <row r="11790" spans="13:28" s="308" customFormat="1" x14ac:dyDescent="0.2">
      <c r="M11790" s="309"/>
      <c r="AB11790" s="310"/>
    </row>
    <row r="11791" spans="13:28" s="308" customFormat="1" x14ac:dyDescent="0.2">
      <c r="M11791" s="309"/>
      <c r="AB11791" s="310"/>
    </row>
    <row r="11792" spans="13:28" s="308" customFormat="1" x14ac:dyDescent="0.2">
      <c r="M11792" s="309"/>
      <c r="AB11792" s="310"/>
    </row>
    <row r="11793" spans="13:28" s="308" customFormat="1" x14ac:dyDescent="0.2">
      <c r="M11793" s="309"/>
      <c r="AB11793" s="310"/>
    </row>
    <row r="11794" spans="13:28" s="308" customFormat="1" x14ac:dyDescent="0.2">
      <c r="M11794" s="309"/>
      <c r="AB11794" s="310"/>
    </row>
    <row r="11795" spans="13:28" s="308" customFormat="1" x14ac:dyDescent="0.2">
      <c r="M11795" s="309"/>
      <c r="AB11795" s="310"/>
    </row>
    <row r="11796" spans="13:28" s="308" customFormat="1" x14ac:dyDescent="0.2">
      <c r="M11796" s="309"/>
      <c r="AB11796" s="310"/>
    </row>
    <row r="11797" spans="13:28" s="308" customFormat="1" x14ac:dyDescent="0.2">
      <c r="M11797" s="309"/>
      <c r="AB11797" s="310"/>
    </row>
    <row r="11798" spans="13:28" s="308" customFormat="1" x14ac:dyDescent="0.2">
      <c r="M11798" s="309"/>
      <c r="AB11798" s="310"/>
    </row>
    <row r="11799" spans="13:28" s="308" customFormat="1" x14ac:dyDescent="0.2">
      <c r="M11799" s="309"/>
      <c r="AB11799" s="310"/>
    </row>
    <row r="11800" spans="13:28" s="308" customFormat="1" x14ac:dyDescent="0.2">
      <c r="M11800" s="309"/>
      <c r="AB11800" s="310"/>
    </row>
    <row r="11801" spans="13:28" s="308" customFormat="1" x14ac:dyDescent="0.2">
      <c r="M11801" s="309"/>
      <c r="AB11801" s="310"/>
    </row>
    <row r="11802" spans="13:28" s="308" customFormat="1" x14ac:dyDescent="0.2">
      <c r="M11802" s="309"/>
      <c r="AB11802" s="310"/>
    </row>
    <row r="11803" spans="13:28" s="308" customFormat="1" x14ac:dyDescent="0.2">
      <c r="M11803" s="309"/>
      <c r="AB11803" s="310"/>
    </row>
    <row r="11804" spans="13:28" s="308" customFormat="1" x14ac:dyDescent="0.2">
      <c r="M11804" s="309"/>
      <c r="AB11804" s="310"/>
    </row>
    <row r="11805" spans="13:28" s="308" customFormat="1" x14ac:dyDescent="0.2">
      <c r="M11805" s="309"/>
      <c r="AB11805" s="310"/>
    </row>
    <row r="11806" spans="13:28" s="308" customFormat="1" x14ac:dyDescent="0.2">
      <c r="M11806" s="309"/>
      <c r="AB11806" s="310"/>
    </row>
    <row r="11807" spans="13:28" s="308" customFormat="1" x14ac:dyDescent="0.2">
      <c r="M11807" s="309"/>
      <c r="AB11807" s="310"/>
    </row>
    <row r="11808" spans="13:28" s="308" customFormat="1" x14ac:dyDescent="0.2">
      <c r="M11808" s="309"/>
      <c r="AB11808" s="310"/>
    </row>
    <row r="11809" spans="13:28" s="308" customFormat="1" x14ac:dyDescent="0.2">
      <c r="M11809" s="309"/>
      <c r="AB11809" s="310"/>
    </row>
    <row r="11810" spans="13:28" s="308" customFormat="1" x14ac:dyDescent="0.2">
      <c r="M11810" s="309"/>
      <c r="AB11810" s="310"/>
    </row>
    <row r="11811" spans="13:28" s="308" customFormat="1" x14ac:dyDescent="0.2">
      <c r="M11811" s="309"/>
      <c r="AB11811" s="310"/>
    </row>
    <row r="11812" spans="13:28" s="308" customFormat="1" x14ac:dyDescent="0.2">
      <c r="M11812" s="309"/>
      <c r="AB11812" s="310"/>
    </row>
    <row r="11813" spans="13:28" s="308" customFormat="1" x14ac:dyDescent="0.2">
      <c r="M11813" s="309"/>
      <c r="AB11813" s="310"/>
    </row>
    <row r="11814" spans="13:28" s="308" customFormat="1" x14ac:dyDescent="0.2">
      <c r="M11814" s="309"/>
      <c r="AB11814" s="310"/>
    </row>
    <row r="11815" spans="13:28" s="308" customFormat="1" x14ac:dyDescent="0.2">
      <c r="M11815" s="309"/>
      <c r="AB11815" s="310"/>
    </row>
    <row r="11816" spans="13:28" s="308" customFormat="1" x14ac:dyDescent="0.2">
      <c r="M11816" s="309"/>
      <c r="AB11816" s="310"/>
    </row>
    <row r="11817" spans="13:28" s="308" customFormat="1" x14ac:dyDescent="0.2">
      <c r="M11817" s="309"/>
      <c r="AB11817" s="310"/>
    </row>
    <row r="11818" spans="13:28" s="308" customFormat="1" x14ac:dyDescent="0.2">
      <c r="M11818" s="309"/>
      <c r="AB11818" s="310"/>
    </row>
    <row r="11819" spans="13:28" s="308" customFormat="1" x14ac:dyDescent="0.2">
      <c r="M11819" s="309"/>
      <c r="AB11819" s="310"/>
    </row>
    <row r="11820" spans="13:28" s="308" customFormat="1" x14ac:dyDescent="0.2">
      <c r="M11820" s="309"/>
      <c r="AB11820" s="310"/>
    </row>
    <row r="11821" spans="13:28" s="308" customFormat="1" x14ac:dyDescent="0.2">
      <c r="M11821" s="309"/>
      <c r="AB11821" s="310"/>
    </row>
    <row r="11822" spans="13:28" s="308" customFormat="1" x14ac:dyDescent="0.2">
      <c r="M11822" s="309"/>
      <c r="AB11822" s="310"/>
    </row>
    <row r="11823" spans="13:28" s="308" customFormat="1" x14ac:dyDescent="0.2">
      <c r="M11823" s="309"/>
      <c r="AB11823" s="310"/>
    </row>
    <row r="11824" spans="13:28" s="308" customFormat="1" x14ac:dyDescent="0.2">
      <c r="M11824" s="309"/>
      <c r="AB11824" s="310"/>
    </row>
    <row r="11825" spans="13:28" s="308" customFormat="1" x14ac:dyDescent="0.2">
      <c r="M11825" s="309"/>
      <c r="AB11825" s="310"/>
    </row>
    <row r="11826" spans="13:28" s="308" customFormat="1" x14ac:dyDescent="0.2">
      <c r="M11826" s="309"/>
      <c r="AB11826" s="310"/>
    </row>
    <row r="11827" spans="13:28" s="308" customFormat="1" x14ac:dyDescent="0.2">
      <c r="M11827" s="309"/>
      <c r="AB11827" s="310"/>
    </row>
    <row r="11828" spans="13:28" s="308" customFormat="1" x14ac:dyDescent="0.2">
      <c r="M11828" s="309"/>
      <c r="AB11828" s="310"/>
    </row>
    <row r="11829" spans="13:28" s="308" customFormat="1" x14ac:dyDescent="0.2">
      <c r="M11829" s="309"/>
      <c r="AB11829" s="310"/>
    </row>
    <row r="11830" spans="13:28" s="308" customFormat="1" x14ac:dyDescent="0.2">
      <c r="M11830" s="309"/>
      <c r="AB11830" s="310"/>
    </row>
    <row r="11831" spans="13:28" s="308" customFormat="1" x14ac:dyDescent="0.2">
      <c r="M11831" s="309"/>
      <c r="AB11831" s="310"/>
    </row>
    <row r="11832" spans="13:28" s="308" customFormat="1" x14ac:dyDescent="0.2">
      <c r="M11832" s="309"/>
      <c r="AB11832" s="310"/>
    </row>
    <row r="11833" spans="13:28" s="308" customFormat="1" x14ac:dyDescent="0.2">
      <c r="M11833" s="309"/>
      <c r="AB11833" s="310"/>
    </row>
    <row r="11834" spans="13:28" s="308" customFormat="1" x14ac:dyDescent="0.2">
      <c r="M11834" s="309"/>
      <c r="AB11834" s="310"/>
    </row>
    <row r="11835" spans="13:28" s="308" customFormat="1" x14ac:dyDescent="0.2">
      <c r="M11835" s="309"/>
      <c r="AB11835" s="310"/>
    </row>
    <row r="11836" spans="13:28" s="308" customFormat="1" x14ac:dyDescent="0.2">
      <c r="M11836" s="309"/>
      <c r="AB11836" s="310"/>
    </row>
    <row r="11837" spans="13:28" s="308" customFormat="1" x14ac:dyDescent="0.2">
      <c r="M11837" s="309"/>
      <c r="AB11837" s="310"/>
    </row>
    <row r="11838" spans="13:28" s="308" customFormat="1" x14ac:dyDescent="0.2">
      <c r="M11838" s="309"/>
      <c r="AB11838" s="310"/>
    </row>
    <row r="11839" spans="13:28" s="308" customFormat="1" x14ac:dyDescent="0.2">
      <c r="M11839" s="309"/>
      <c r="AB11839" s="310"/>
    </row>
    <row r="11840" spans="13:28" s="308" customFormat="1" x14ac:dyDescent="0.2">
      <c r="M11840" s="309"/>
      <c r="AB11840" s="310"/>
    </row>
    <row r="11841" spans="13:28" s="308" customFormat="1" x14ac:dyDescent="0.2">
      <c r="M11841" s="309"/>
      <c r="AB11841" s="310"/>
    </row>
    <row r="11842" spans="13:28" s="308" customFormat="1" x14ac:dyDescent="0.2">
      <c r="M11842" s="309"/>
      <c r="AB11842" s="310"/>
    </row>
    <row r="11843" spans="13:28" s="308" customFormat="1" x14ac:dyDescent="0.2">
      <c r="M11843" s="309"/>
      <c r="AB11843" s="310"/>
    </row>
    <row r="11844" spans="13:28" s="308" customFormat="1" x14ac:dyDescent="0.2">
      <c r="M11844" s="309"/>
      <c r="AB11844" s="310"/>
    </row>
    <row r="11845" spans="13:28" s="308" customFormat="1" x14ac:dyDescent="0.2">
      <c r="M11845" s="309"/>
      <c r="AB11845" s="310"/>
    </row>
    <row r="11846" spans="13:28" s="308" customFormat="1" x14ac:dyDescent="0.2">
      <c r="M11846" s="309"/>
      <c r="AB11846" s="310"/>
    </row>
    <row r="11847" spans="13:28" s="308" customFormat="1" x14ac:dyDescent="0.2">
      <c r="M11847" s="309"/>
      <c r="AB11847" s="310"/>
    </row>
    <row r="11848" spans="13:28" s="308" customFormat="1" x14ac:dyDescent="0.2">
      <c r="M11848" s="309"/>
      <c r="AB11848" s="310"/>
    </row>
    <row r="11849" spans="13:28" s="308" customFormat="1" x14ac:dyDescent="0.2">
      <c r="M11849" s="309"/>
      <c r="AB11849" s="310"/>
    </row>
    <row r="11850" spans="13:28" s="308" customFormat="1" x14ac:dyDescent="0.2">
      <c r="M11850" s="309"/>
      <c r="AB11850" s="310"/>
    </row>
    <row r="11851" spans="13:28" s="308" customFormat="1" x14ac:dyDescent="0.2">
      <c r="M11851" s="309"/>
      <c r="AB11851" s="310"/>
    </row>
    <row r="11852" spans="13:28" s="308" customFormat="1" x14ac:dyDescent="0.2">
      <c r="M11852" s="309"/>
      <c r="AB11852" s="310"/>
    </row>
    <row r="11853" spans="13:28" s="308" customFormat="1" x14ac:dyDescent="0.2">
      <c r="M11853" s="309"/>
      <c r="AB11853" s="310"/>
    </row>
    <row r="11854" spans="13:28" s="308" customFormat="1" x14ac:dyDescent="0.2">
      <c r="M11854" s="309"/>
      <c r="AB11854" s="310"/>
    </row>
    <row r="11855" spans="13:28" s="308" customFormat="1" x14ac:dyDescent="0.2">
      <c r="M11855" s="309"/>
      <c r="AB11855" s="310"/>
    </row>
    <row r="11856" spans="13:28" s="308" customFormat="1" x14ac:dyDescent="0.2">
      <c r="M11856" s="309"/>
      <c r="AB11856" s="310"/>
    </row>
    <row r="11857" spans="13:28" s="308" customFormat="1" x14ac:dyDescent="0.2">
      <c r="M11857" s="309"/>
      <c r="AB11857" s="310"/>
    </row>
    <row r="11858" spans="13:28" s="308" customFormat="1" x14ac:dyDescent="0.2">
      <c r="M11858" s="309"/>
      <c r="AB11858" s="310"/>
    </row>
    <row r="11859" spans="13:28" s="308" customFormat="1" x14ac:dyDescent="0.2">
      <c r="M11859" s="309"/>
      <c r="AB11859" s="310"/>
    </row>
    <row r="11860" spans="13:28" s="308" customFormat="1" x14ac:dyDescent="0.2">
      <c r="M11860" s="309"/>
      <c r="AB11860" s="310"/>
    </row>
    <row r="11861" spans="13:28" s="308" customFormat="1" x14ac:dyDescent="0.2">
      <c r="M11861" s="309"/>
      <c r="AB11861" s="310"/>
    </row>
    <row r="11862" spans="13:28" s="308" customFormat="1" x14ac:dyDescent="0.2">
      <c r="M11862" s="309"/>
      <c r="AB11862" s="310"/>
    </row>
    <row r="11863" spans="13:28" s="308" customFormat="1" x14ac:dyDescent="0.2">
      <c r="M11863" s="309"/>
      <c r="AB11863" s="310"/>
    </row>
    <row r="11864" spans="13:28" s="308" customFormat="1" x14ac:dyDescent="0.2">
      <c r="M11864" s="309"/>
      <c r="AB11864" s="310"/>
    </row>
    <row r="11865" spans="13:28" s="308" customFormat="1" x14ac:dyDescent="0.2">
      <c r="M11865" s="309"/>
      <c r="AB11865" s="310"/>
    </row>
    <row r="11866" spans="13:28" s="308" customFormat="1" x14ac:dyDescent="0.2">
      <c r="M11866" s="309"/>
      <c r="AB11866" s="310"/>
    </row>
    <row r="11867" spans="13:28" s="308" customFormat="1" x14ac:dyDescent="0.2">
      <c r="M11867" s="309"/>
      <c r="AB11867" s="310"/>
    </row>
    <row r="11868" spans="13:28" s="308" customFormat="1" x14ac:dyDescent="0.2">
      <c r="M11868" s="309"/>
      <c r="AB11868" s="310"/>
    </row>
    <row r="11869" spans="13:28" s="308" customFormat="1" x14ac:dyDescent="0.2">
      <c r="M11869" s="309"/>
      <c r="AB11869" s="310"/>
    </row>
    <row r="11870" spans="13:28" s="308" customFormat="1" x14ac:dyDescent="0.2">
      <c r="M11870" s="309"/>
      <c r="AB11870" s="310"/>
    </row>
    <row r="11871" spans="13:28" s="308" customFormat="1" x14ac:dyDescent="0.2">
      <c r="M11871" s="309"/>
      <c r="AB11871" s="310"/>
    </row>
    <row r="11872" spans="13:28" s="308" customFormat="1" x14ac:dyDescent="0.2">
      <c r="M11872" s="309"/>
      <c r="AB11872" s="310"/>
    </row>
    <row r="11873" spans="13:28" s="308" customFormat="1" x14ac:dyDescent="0.2">
      <c r="M11873" s="309"/>
      <c r="AB11873" s="310"/>
    </row>
    <row r="11874" spans="13:28" s="308" customFormat="1" x14ac:dyDescent="0.2">
      <c r="M11874" s="309"/>
      <c r="AB11874" s="310"/>
    </row>
    <row r="11875" spans="13:28" s="308" customFormat="1" x14ac:dyDescent="0.2">
      <c r="M11875" s="309"/>
      <c r="AB11875" s="310"/>
    </row>
    <row r="11876" spans="13:28" s="308" customFormat="1" x14ac:dyDescent="0.2">
      <c r="M11876" s="309"/>
      <c r="AB11876" s="310"/>
    </row>
    <row r="11877" spans="13:28" s="308" customFormat="1" x14ac:dyDescent="0.2">
      <c r="M11877" s="309"/>
      <c r="AB11877" s="310"/>
    </row>
    <row r="11878" spans="13:28" s="308" customFormat="1" x14ac:dyDescent="0.2">
      <c r="M11878" s="309"/>
      <c r="AB11878" s="310"/>
    </row>
    <row r="11879" spans="13:28" s="308" customFormat="1" x14ac:dyDescent="0.2">
      <c r="M11879" s="309"/>
      <c r="AB11879" s="310"/>
    </row>
    <row r="11880" spans="13:28" s="308" customFormat="1" x14ac:dyDescent="0.2">
      <c r="M11880" s="309"/>
      <c r="AB11880" s="310"/>
    </row>
    <row r="11881" spans="13:28" s="308" customFormat="1" x14ac:dyDescent="0.2">
      <c r="M11881" s="309"/>
      <c r="AB11881" s="310"/>
    </row>
    <row r="11882" spans="13:28" s="308" customFormat="1" x14ac:dyDescent="0.2">
      <c r="M11882" s="309"/>
      <c r="AB11882" s="310"/>
    </row>
    <row r="11883" spans="13:28" s="308" customFormat="1" x14ac:dyDescent="0.2">
      <c r="M11883" s="309"/>
      <c r="AB11883" s="310"/>
    </row>
    <row r="11884" spans="13:28" s="308" customFormat="1" x14ac:dyDescent="0.2">
      <c r="M11884" s="309"/>
      <c r="AB11884" s="310"/>
    </row>
    <row r="11885" spans="13:28" s="308" customFormat="1" x14ac:dyDescent="0.2">
      <c r="M11885" s="309"/>
      <c r="AB11885" s="310"/>
    </row>
    <row r="11886" spans="13:28" s="308" customFormat="1" x14ac:dyDescent="0.2">
      <c r="M11886" s="309"/>
      <c r="AB11886" s="310"/>
    </row>
    <row r="11887" spans="13:28" s="308" customFormat="1" x14ac:dyDescent="0.2">
      <c r="M11887" s="309"/>
      <c r="AB11887" s="310"/>
    </row>
    <row r="11888" spans="13:28" s="308" customFormat="1" x14ac:dyDescent="0.2">
      <c r="M11888" s="309"/>
      <c r="AB11888" s="310"/>
    </row>
    <row r="11889" spans="13:28" s="308" customFormat="1" x14ac:dyDescent="0.2">
      <c r="M11889" s="309"/>
      <c r="AB11889" s="310"/>
    </row>
    <row r="11890" spans="13:28" s="308" customFormat="1" x14ac:dyDescent="0.2">
      <c r="M11890" s="309"/>
      <c r="AB11890" s="310"/>
    </row>
    <row r="11891" spans="13:28" s="308" customFormat="1" x14ac:dyDescent="0.2">
      <c r="M11891" s="309"/>
      <c r="AB11891" s="310"/>
    </row>
    <row r="11892" spans="13:28" s="308" customFormat="1" x14ac:dyDescent="0.2">
      <c r="M11892" s="309"/>
      <c r="AB11892" s="310"/>
    </row>
    <row r="11893" spans="13:28" s="308" customFormat="1" x14ac:dyDescent="0.2">
      <c r="M11893" s="309"/>
      <c r="AB11893" s="310"/>
    </row>
    <row r="11894" spans="13:28" s="308" customFormat="1" x14ac:dyDescent="0.2">
      <c r="M11894" s="309"/>
      <c r="AB11894" s="310"/>
    </row>
    <row r="11895" spans="13:28" s="308" customFormat="1" x14ac:dyDescent="0.2">
      <c r="M11895" s="309"/>
      <c r="AB11895" s="310"/>
    </row>
    <row r="11896" spans="13:28" s="308" customFormat="1" x14ac:dyDescent="0.2">
      <c r="M11896" s="309"/>
      <c r="AB11896" s="310"/>
    </row>
    <row r="11897" spans="13:28" s="308" customFormat="1" x14ac:dyDescent="0.2">
      <c r="M11897" s="309"/>
      <c r="AB11897" s="310"/>
    </row>
    <row r="11898" spans="13:28" s="308" customFormat="1" x14ac:dyDescent="0.2">
      <c r="M11898" s="309"/>
      <c r="AB11898" s="310"/>
    </row>
    <row r="11899" spans="13:28" s="308" customFormat="1" x14ac:dyDescent="0.2">
      <c r="M11899" s="309"/>
      <c r="AB11899" s="310"/>
    </row>
    <row r="11900" spans="13:28" s="308" customFormat="1" x14ac:dyDescent="0.2">
      <c r="M11900" s="309"/>
      <c r="AB11900" s="310"/>
    </row>
    <row r="11901" spans="13:28" s="308" customFormat="1" x14ac:dyDescent="0.2">
      <c r="M11901" s="309"/>
      <c r="AB11901" s="310"/>
    </row>
    <row r="11902" spans="13:28" s="308" customFormat="1" x14ac:dyDescent="0.2">
      <c r="M11902" s="309"/>
      <c r="AB11902" s="310"/>
    </row>
    <row r="11903" spans="13:28" s="308" customFormat="1" x14ac:dyDescent="0.2">
      <c r="M11903" s="309"/>
      <c r="AB11903" s="310"/>
    </row>
    <row r="11904" spans="13:28" s="308" customFormat="1" x14ac:dyDescent="0.2">
      <c r="M11904" s="309"/>
      <c r="AB11904" s="310"/>
    </row>
    <row r="11905" spans="13:28" s="308" customFormat="1" x14ac:dyDescent="0.2">
      <c r="M11905" s="309"/>
      <c r="AB11905" s="310"/>
    </row>
    <row r="11906" spans="13:28" s="308" customFormat="1" x14ac:dyDescent="0.2">
      <c r="M11906" s="309"/>
      <c r="AB11906" s="310"/>
    </row>
    <row r="11907" spans="13:28" s="308" customFormat="1" x14ac:dyDescent="0.2">
      <c r="M11907" s="309"/>
      <c r="AB11907" s="310"/>
    </row>
    <row r="11908" spans="13:28" s="308" customFormat="1" x14ac:dyDescent="0.2">
      <c r="M11908" s="309"/>
      <c r="AB11908" s="310"/>
    </row>
    <row r="11909" spans="13:28" s="308" customFormat="1" x14ac:dyDescent="0.2">
      <c r="M11909" s="309"/>
      <c r="AB11909" s="310"/>
    </row>
    <row r="11910" spans="13:28" s="308" customFormat="1" x14ac:dyDescent="0.2">
      <c r="M11910" s="309"/>
      <c r="AB11910" s="310"/>
    </row>
    <row r="11911" spans="13:28" s="308" customFormat="1" x14ac:dyDescent="0.2">
      <c r="M11911" s="309"/>
      <c r="AB11911" s="310"/>
    </row>
    <row r="11912" spans="13:28" s="308" customFormat="1" x14ac:dyDescent="0.2">
      <c r="M11912" s="309"/>
      <c r="AB11912" s="310"/>
    </row>
    <row r="11913" spans="13:28" s="308" customFormat="1" x14ac:dyDescent="0.2">
      <c r="M11913" s="309"/>
      <c r="AB11913" s="310"/>
    </row>
    <row r="11914" spans="13:28" s="308" customFormat="1" x14ac:dyDescent="0.2">
      <c r="M11914" s="309"/>
      <c r="AB11914" s="310"/>
    </row>
    <row r="11915" spans="13:28" s="308" customFormat="1" x14ac:dyDescent="0.2">
      <c r="M11915" s="309"/>
      <c r="AB11915" s="310"/>
    </row>
    <row r="11916" spans="13:28" s="308" customFormat="1" x14ac:dyDescent="0.2">
      <c r="M11916" s="309"/>
      <c r="AB11916" s="310"/>
    </row>
    <row r="11917" spans="13:28" s="308" customFormat="1" x14ac:dyDescent="0.2">
      <c r="M11917" s="309"/>
      <c r="AB11917" s="310"/>
    </row>
    <row r="11918" spans="13:28" s="308" customFormat="1" x14ac:dyDescent="0.2">
      <c r="M11918" s="309"/>
      <c r="AB11918" s="310"/>
    </row>
    <row r="11919" spans="13:28" s="308" customFormat="1" x14ac:dyDescent="0.2">
      <c r="M11919" s="309"/>
      <c r="AB11919" s="310"/>
    </row>
    <row r="11920" spans="13:28" s="308" customFormat="1" x14ac:dyDescent="0.2">
      <c r="M11920" s="309"/>
      <c r="AB11920" s="310"/>
    </row>
    <row r="11921" spans="13:28" s="308" customFormat="1" x14ac:dyDescent="0.2">
      <c r="M11921" s="309"/>
      <c r="AB11921" s="310"/>
    </row>
    <row r="11922" spans="13:28" s="308" customFormat="1" x14ac:dyDescent="0.2">
      <c r="M11922" s="309"/>
      <c r="AB11922" s="310"/>
    </row>
    <row r="11923" spans="13:28" s="308" customFormat="1" x14ac:dyDescent="0.2">
      <c r="M11923" s="309"/>
      <c r="AB11923" s="310"/>
    </row>
    <row r="11924" spans="13:28" s="308" customFormat="1" x14ac:dyDescent="0.2">
      <c r="M11924" s="309"/>
      <c r="AB11924" s="310"/>
    </row>
    <row r="11925" spans="13:28" s="308" customFormat="1" x14ac:dyDescent="0.2">
      <c r="M11925" s="309"/>
      <c r="AB11925" s="310"/>
    </row>
    <row r="11926" spans="13:28" s="308" customFormat="1" x14ac:dyDescent="0.2">
      <c r="M11926" s="309"/>
      <c r="AB11926" s="310"/>
    </row>
    <row r="11927" spans="13:28" s="308" customFormat="1" x14ac:dyDescent="0.2">
      <c r="M11927" s="309"/>
      <c r="AB11927" s="310"/>
    </row>
    <row r="11928" spans="13:28" s="308" customFormat="1" x14ac:dyDescent="0.2">
      <c r="M11928" s="309"/>
      <c r="AB11928" s="310"/>
    </row>
    <row r="11929" spans="13:28" s="308" customFormat="1" x14ac:dyDescent="0.2">
      <c r="M11929" s="309"/>
      <c r="AB11929" s="310"/>
    </row>
    <row r="11930" spans="13:28" s="308" customFormat="1" x14ac:dyDescent="0.2">
      <c r="M11930" s="309"/>
      <c r="AB11930" s="310"/>
    </row>
    <row r="11931" spans="13:28" s="308" customFormat="1" x14ac:dyDescent="0.2">
      <c r="M11931" s="309"/>
      <c r="AB11931" s="310"/>
    </row>
    <row r="11932" spans="13:28" s="308" customFormat="1" x14ac:dyDescent="0.2">
      <c r="M11932" s="309"/>
      <c r="AB11932" s="310"/>
    </row>
    <row r="11933" spans="13:28" s="308" customFormat="1" x14ac:dyDescent="0.2">
      <c r="M11933" s="309"/>
      <c r="AB11933" s="310"/>
    </row>
    <row r="11934" spans="13:28" s="308" customFormat="1" x14ac:dyDescent="0.2">
      <c r="M11934" s="309"/>
      <c r="AB11934" s="310"/>
    </row>
    <row r="11935" spans="13:28" s="308" customFormat="1" x14ac:dyDescent="0.2">
      <c r="M11935" s="309"/>
      <c r="AB11935" s="310"/>
    </row>
    <row r="11936" spans="13:28" s="308" customFormat="1" x14ac:dyDescent="0.2">
      <c r="M11936" s="309"/>
      <c r="AB11936" s="310"/>
    </row>
    <row r="11937" spans="13:28" s="308" customFormat="1" x14ac:dyDescent="0.2">
      <c r="M11937" s="309"/>
      <c r="AB11937" s="310"/>
    </row>
    <row r="11938" spans="13:28" s="308" customFormat="1" x14ac:dyDescent="0.2">
      <c r="M11938" s="309"/>
      <c r="AB11938" s="310"/>
    </row>
    <row r="11939" spans="13:28" s="308" customFormat="1" x14ac:dyDescent="0.2">
      <c r="M11939" s="309"/>
      <c r="AB11939" s="310"/>
    </row>
    <row r="11940" spans="13:28" s="308" customFormat="1" x14ac:dyDescent="0.2">
      <c r="M11940" s="309"/>
      <c r="AB11940" s="310"/>
    </row>
    <row r="11941" spans="13:28" s="308" customFormat="1" x14ac:dyDescent="0.2">
      <c r="M11941" s="309"/>
      <c r="AB11941" s="310"/>
    </row>
    <row r="11942" spans="13:28" s="308" customFormat="1" x14ac:dyDescent="0.2">
      <c r="M11942" s="309"/>
      <c r="AB11942" s="310"/>
    </row>
    <row r="11943" spans="13:28" s="308" customFormat="1" x14ac:dyDescent="0.2">
      <c r="M11943" s="309"/>
      <c r="AB11943" s="310"/>
    </row>
    <row r="11944" spans="13:28" s="308" customFormat="1" x14ac:dyDescent="0.2">
      <c r="M11944" s="309"/>
      <c r="AB11944" s="310"/>
    </row>
    <row r="11945" spans="13:28" s="308" customFormat="1" x14ac:dyDescent="0.2">
      <c r="M11945" s="309"/>
      <c r="AB11945" s="310"/>
    </row>
    <row r="11946" spans="13:28" s="308" customFormat="1" x14ac:dyDescent="0.2">
      <c r="M11946" s="309"/>
      <c r="AB11946" s="310"/>
    </row>
    <row r="11947" spans="13:28" s="308" customFormat="1" x14ac:dyDescent="0.2">
      <c r="M11947" s="309"/>
      <c r="AB11947" s="310"/>
    </row>
    <row r="11948" spans="13:28" s="308" customFormat="1" x14ac:dyDescent="0.2">
      <c r="M11948" s="309"/>
      <c r="AB11948" s="310"/>
    </row>
    <row r="11949" spans="13:28" s="308" customFormat="1" x14ac:dyDescent="0.2">
      <c r="M11949" s="309"/>
      <c r="AB11949" s="310"/>
    </row>
    <row r="11950" spans="13:28" s="308" customFormat="1" x14ac:dyDescent="0.2">
      <c r="M11950" s="309"/>
      <c r="AB11950" s="310"/>
    </row>
    <row r="11951" spans="13:28" s="308" customFormat="1" x14ac:dyDescent="0.2">
      <c r="M11951" s="309"/>
      <c r="AB11951" s="310"/>
    </row>
    <row r="11952" spans="13:28" s="308" customFormat="1" x14ac:dyDescent="0.2">
      <c r="M11952" s="309"/>
      <c r="AB11952" s="310"/>
    </row>
    <row r="11953" spans="13:28" s="308" customFormat="1" x14ac:dyDescent="0.2">
      <c r="M11953" s="309"/>
      <c r="AB11953" s="310"/>
    </row>
    <row r="11954" spans="13:28" s="308" customFormat="1" x14ac:dyDescent="0.2">
      <c r="M11954" s="309"/>
      <c r="AB11954" s="310"/>
    </row>
    <row r="11955" spans="13:28" s="308" customFormat="1" x14ac:dyDescent="0.2">
      <c r="M11955" s="309"/>
      <c r="AB11955" s="310"/>
    </row>
    <row r="11956" spans="13:28" s="308" customFormat="1" x14ac:dyDescent="0.2">
      <c r="M11956" s="309"/>
      <c r="AB11956" s="310"/>
    </row>
    <row r="11957" spans="13:28" s="308" customFormat="1" x14ac:dyDescent="0.2">
      <c r="M11957" s="309"/>
      <c r="AB11957" s="310"/>
    </row>
    <row r="11958" spans="13:28" s="308" customFormat="1" x14ac:dyDescent="0.2">
      <c r="M11958" s="309"/>
      <c r="AB11958" s="310"/>
    </row>
    <row r="11959" spans="13:28" s="308" customFormat="1" x14ac:dyDescent="0.2">
      <c r="M11959" s="309"/>
      <c r="AB11959" s="310"/>
    </row>
    <row r="11960" spans="13:28" s="308" customFormat="1" x14ac:dyDescent="0.2">
      <c r="M11960" s="309"/>
      <c r="AB11960" s="310"/>
    </row>
    <row r="11961" spans="13:28" s="308" customFormat="1" x14ac:dyDescent="0.2">
      <c r="M11961" s="309"/>
      <c r="AB11961" s="310"/>
    </row>
    <row r="11962" spans="13:28" s="308" customFormat="1" x14ac:dyDescent="0.2">
      <c r="M11962" s="309"/>
      <c r="AB11962" s="310"/>
    </row>
    <row r="11963" spans="13:28" s="308" customFormat="1" x14ac:dyDescent="0.2">
      <c r="M11963" s="309"/>
      <c r="AB11963" s="310"/>
    </row>
    <row r="11964" spans="13:28" s="308" customFormat="1" x14ac:dyDescent="0.2">
      <c r="M11964" s="309"/>
      <c r="AB11964" s="310"/>
    </row>
    <row r="11965" spans="13:28" s="308" customFormat="1" x14ac:dyDescent="0.2">
      <c r="M11965" s="309"/>
      <c r="AB11965" s="310"/>
    </row>
    <row r="11966" spans="13:28" s="308" customFormat="1" x14ac:dyDescent="0.2">
      <c r="M11966" s="309"/>
      <c r="AB11966" s="310"/>
    </row>
    <row r="11967" spans="13:28" s="308" customFormat="1" x14ac:dyDescent="0.2">
      <c r="M11967" s="309"/>
      <c r="AB11967" s="310"/>
    </row>
    <row r="11968" spans="13:28" s="308" customFormat="1" x14ac:dyDescent="0.2">
      <c r="M11968" s="309"/>
      <c r="AB11968" s="310"/>
    </row>
    <row r="11969" spans="13:28" s="308" customFormat="1" x14ac:dyDescent="0.2">
      <c r="M11969" s="309"/>
      <c r="AB11969" s="310"/>
    </row>
    <row r="11970" spans="13:28" s="308" customFormat="1" x14ac:dyDescent="0.2">
      <c r="M11970" s="309"/>
      <c r="AB11970" s="310"/>
    </row>
    <row r="11971" spans="13:28" s="308" customFormat="1" x14ac:dyDescent="0.2">
      <c r="M11971" s="309"/>
      <c r="AB11971" s="310"/>
    </row>
    <row r="11972" spans="13:28" s="308" customFormat="1" x14ac:dyDescent="0.2">
      <c r="M11972" s="309"/>
      <c r="AB11972" s="310"/>
    </row>
    <row r="11973" spans="13:28" s="308" customFormat="1" x14ac:dyDescent="0.2">
      <c r="M11973" s="309"/>
      <c r="AB11973" s="310"/>
    </row>
    <row r="11974" spans="13:28" s="308" customFormat="1" x14ac:dyDescent="0.2">
      <c r="M11974" s="309"/>
      <c r="AB11974" s="310"/>
    </row>
    <row r="11975" spans="13:28" s="308" customFormat="1" x14ac:dyDescent="0.2">
      <c r="M11975" s="309"/>
      <c r="AB11975" s="310"/>
    </row>
    <row r="11976" spans="13:28" s="308" customFormat="1" x14ac:dyDescent="0.2">
      <c r="M11976" s="309"/>
      <c r="AB11976" s="310"/>
    </row>
    <row r="11977" spans="13:28" s="308" customFormat="1" x14ac:dyDescent="0.2">
      <c r="M11977" s="309"/>
      <c r="AB11977" s="310"/>
    </row>
    <row r="11978" spans="13:28" s="308" customFormat="1" x14ac:dyDescent="0.2">
      <c r="M11978" s="309"/>
      <c r="AB11978" s="310"/>
    </row>
    <row r="11979" spans="13:28" s="308" customFormat="1" x14ac:dyDescent="0.2">
      <c r="M11979" s="309"/>
      <c r="AB11979" s="310"/>
    </row>
    <row r="11980" spans="13:28" s="308" customFormat="1" x14ac:dyDescent="0.2">
      <c r="M11980" s="309"/>
      <c r="AB11980" s="310"/>
    </row>
    <row r="11981" spans="13:28" s="308" customFormat="1" x14ac:dyDescent="0.2">
      <c r="M11981" s="309"/>
      <c r="AB11981" s="310"/>
    </row>
    <row r="11982" spans="13:28" s="308" customFormat="1" x14ac:dyDescent="0.2">
      <c r="M11982" s="309"/>
      <c r="AB11982" s="310"/>
    </row>
    <row r="11983" spans="13:28" s="308" customFormat="1" x14ac:dyDescent="0.2">
      <c r="M11983" s="309"/>
      <c r="AB11983" s="310"/>
    </row>
    <row r="11984" spans="13:28" s="308" customFormat="1" x14ac:dyDescent="0.2">
      <c r="M11984" s="309"/>
      <c r="AB11984" s="310"/>
    </row>
    <row r="11985" spans="13:28" s="308" customFormat="1" x14ac:dyDescent="0.2">
      <c r="M11985" s="309"/>
      <c r="AB11985" s="310"/>
    </row>
    <row r="11986" spans="13:28" s="308" customFormat="1" x14ac:dyDescent="0.2">
      <c r="M11986" s="309"/>
      <c r="AB11986" s="310"/>
    </row>
    <row r="11987" spans="13:28" s="308" customFormat="1" x14ac:dyDescent="0.2">
      <c r="M11987" s="309"/>
      <c r="AB11987" s="310"/>
    </row>
    <row r="11988" spans="13:28" s="308" customFormat="1" x14ac:dyDescent="0.2">
      <c r="M11988" s="309"/>
      <c r="AB11988" s="310"/>
    </row>
    <row r="11989" spans="13:28" s="308" customFormat="1" x14ac:dyDescent="0.2">
      <c r="M11989" s="309"/>
      <c r="AB11989" s="310"/>
    </row>
    <row r="11990" spans="13:28" s="308" customFormat="1" x14ac:dyDescent="0.2">
      <c r="M11990" s="309"/>
      <c r="AB11990" s="310"/>
    </row>
    <row r="11991" spans="13:28" s="308" customFormat="1" x14ac:dyDescent="0.2">
      <c r="M11991" s="309"/>
      <c r="AB11991" s="310"/>
    </row>
    <row r="11992" spans="13:28" s="308" customFormat="1" x14ac:dyDescent="0.2">
      <c r="M11992" s="309"/>
      <c r="AB11992" s="310"/>
    </row>
    <row r="11993" spans="13:28" s="308" customFormat="1" x14ac:dyDescent="0.2">
      <c r="M11993" s="309"/>
      <c r="AB11993" s="310"/>
    </row>
    <row r="11994" spans="13:28" s="308" customFormat="1" x14ac:dyDescent="0.2">
      <c r="M11994" s="309"/>
      <c r="AB11994" s="310"/>
    </row>
    <row r="11995" spans="13:28" s="308" customFormat="1" x14ac:dyDescent="0.2">
      <c r="M11995" s="309"/>
      <c r="AB11995" s="310"/>
    </row>
    <row r="11996" spans="13:28" s="308" customFormat="1" x14ac:dyDescent="0.2">
      <c r="M11996" s="309"/>
      <c r="AB11996" s="310"/>
    </row>
    <row r="11997" spans="13:28" s="308" customFormat="1" x14ac:dyDescent="0.2">
      <c r="M11997" s="309"/>
      <c r="AB11997" s="310"/>
    </row>
    <row r="11998" spans="13:28" s="308" customFormat="1" x14ac:dyDescent="0.2">
      <c r="M11998" s="309"/>
      <c r="AB11998" s="310"/>
    </row>
    <row r="11999" spans="13:28" s="308" customFormat="1" x14ac:dyDescent="0.2">
      <c r="M11999" s="309"/>
      <c r="AB11999" s="310"/>
    </row>
    <row r="12000" spans="13:28" s="308" customFormat="1" x14ac:dyDescent="0.2">
      <c r="M12000" s="309"/>
      <c r="AB12000" s="310"/>
    </row>
    <row r="12001" spans="13:28" s="308" customFormat="1" x14ac:dyDescent="0.2">
      <c r="M12001" s="309"/>
      <c r="AB12001" s="310"/>
    </row>
    <row r="12002" spans="13:28" s="308" customFormat="1" x14ac:dyDescent="0.2">
      <c r="M12002" s="309"/>
      <c r="AB12002" s="310"/>
    </row>
    <row r="12003" spans="13:28" s="308" customFormat="1" x14ac:dyDescent="0.2">
      <c r="M12003" s="309"/>
      <c r="AB12003" s="310"/>
    </row>
    <row r="12004" spans="13:28" s="308" customFormat="1" x14ac:dyDescent="0.2">
      <c r="M12004" s="309"/>
      <c r="AB12004" s="310"/>
    </row>
    <row r="12005" spans="13:28" s="308" customFormat="1" x14ac:dyDescent="0.2">
      <c r="M12005" s="309"/>
      <c r="AB12005" s="310"/>
    </row>
    <row r="12006" spans="13:28" s="308" customFormat="1" x14ac:dyDescent="0.2">
      <c r="M12006" s="309"/>
      <c r="AB12006" s="310"/>
    </row>
    <row r="12007" spans="13:28" s="308" customFormat="1" x14ac:dyDescent="0.2">
      <c r="M12007" s="309"/>
      <c r="AB12007" s="310"/>
    </row>
    <row r="12008" spans="13:28" s="308" customFormat="1" x14ac:dyDescent="0.2">
      <c r="M12008" s="309"/>
      <c r="AB12008" s="310"/>
    </row>
    <row r="12009" spans="13:28" s="308" customFormat="1" x14ac:dyDescent="0.2">
      <c r="M12009" s="309"/>
      <c r="AB12009" s="310"/>
    </row>
    <row r="12010" spans="13:28" s="308" customFormat="1" x14ac:dyDescent="0.2">
      <c r="M12010" s="309"/>
      <c r="AB12010" s="310"/>
    </row>
    <row r="12011" spans="13:28" s="308" customFormat="1" x14ac:dyDescent="0.2">
      <c r="M12011" s="309"/>
      <c r="AB12011" s="310"/>
    </row>
    <row r="12012" spans="13:28" s="308" customFormat="1" x14ac:dyDescent="0.2">
      <c r="M12012" s="309"/>
      <c r="AB12012" s="310"/>
    </row>
    <row r="12013" spans="13:28" s="308" customFormat="1" x14ac:dyDescent="0.2">
      <c r="M12013" s="309"/>
      <c r="AB12013" s="310"/>
    </row>
    <row r="12014" spans="13:28" s="308" customFormat="1" x14ac:dyDescent="0.2">
      <c r="M12014" s="309"/>
      <c r="AB12014" s="310"/>
    </row>
    <row r="12015" spans="13:28" s="308" customFormat="1" x14ac:dyDescent="0.2">
      <c r="M12015" s="309"/>
      <c r="AB12015" s="310"/>
    </row>
    <row r="12016" spans="13:28" s="308" customFormat="1" x14ac:dyDescent="0.2">
      <c r="M12016" s="309"/>
      <c r="AB12016" s="310"/>
    </row>
    <row r="12017" spans="13:28" s="308" customFormat="1" x14ac:dyDescent="0.2">
      <c r="M12017" s="309"/>
      <c r="AB12017" s="310"/>
    </row>
    <row r="12018" spans="13:28" s="308" customFormat="1" x14ac:dyDescent="0.2">
      <c r="M12018" s="309"/>
      <c r="AB12018" s="310"/>
    </row>
    <row r="12019" spans="13:28" s="308" customFormat="1" x14ac:dyDescent="0.2">
      <c r="M12019" s="309"/>
      <c r="AB12019" s="310"/>
    </row>
    <row r="12020" spans="13:28" s="308" customFormat="1" x14ac:dyDescent="0.2">
      <c r="M12020" s="309"/>
      <c r="AB12020" s="310"/>
    </row>
    <row r="12021" spans="13:28" s="308" customFormat="1" x14ac:dyDescent="0.2">
      <c r="M12021" s="309"/>
      <c r="AB12021" s="310"/>
    </row>
    <row r="12022" spans="13:28" s="308" customFormat="1" x14ac:dyDescent="0.2">
      <c r="M12022" s="309"/>
      <c r="AB12022" s="310"/>
    </row>
    <row r="12023" spans="13:28" s="308" customFormat="1" x14ac:dyDescent="0.2">
      <c r="M12023" s="309"/>
      <c r="AB12023" s="310"/>
    </row>
    <row r="12024" spans="13:28" s="308" customFormat="1" x14ac:dyDescent="0.2">
      <c r="M12024" s="309"/>
      <c r="AB12024" s="310"/>
    </row>
    <row r="12025" spans="13:28" s="308" customFormat="1" x14ac:dyDescent="0.2">
      <c r="M12025" s="309"/>
      <c r="AB12025" s="310"/>
    </row>
    <row r="12026" spans="13:28" s="308" customFormat="1" x14ac:dyDescent="0.2">
      <c r="M12026" s="309"/>
      <c r="AB12026" s="310"/>
    </row>
    <row r="12027" spans="13:28" s="308" customFormat="1" x14ac:dyDescent="0.2">
      <c r="M12027" s="309"/>
      <c r="AB12027" s="310"/>
    </row>
    <row r="12028" spans="13:28" s="308" customFormat="1" x14ac:dyDescent="0.2">
      <c r="M12028" s="309"/>
      <c r="AB12028" s="310"/>
    </row>
    <row r="12029" spans="13:28" s="308" customFormat="1" x14ac:dyDescent="0.2">
      <c r="M12029" s="309"/>
      <c r="AB12029" s="310"/>
    </row>
    <row r="12030" spans="13:28" s="308" customFormat="1" x14ac:dyDescent="0.2">
      <c r="M12030" s="309"/>
      <c r="AB12030" s="310"/>
    </row>
    <row r="12031" spans="13:28" s="308" customFormat="1" x14ac:dyDescent="0.2">
      <c r="M12031" s="309"/>
      <c r="AB12031" s="310"/>
    </row>
    <row r="12032" spans="13:28" s="308" customFormat="1" x14ac:dyDescent="0.2">
      <c r="M12032" s="309"/>
      <c r="AB12032" s="310"/>
    </row>
    <row r="12033" spans="13:28" s="308" customFormat="1" x14ac:dyDescent="0.2">
      <c r="M12033" s="309"/>
      <c r="AB12033" s="310"/>
    </row>
    <row r="12034" spans="13:28" s="308" customFormat="1" x14ac:dyDescent="0.2">
      <c r="M12034" s="309"/>
      <c r="AB12034" s="310"/>
    </row>
    <row r="12035" spans="13:28" s="308" customFormat="1" x14ac:dyDescent="0.2">
      <c r="M12035" s="309"/>
      <c r="AB12035" s="310"/>
    </row>
    <row r="12036" spans="13:28" s="308" customFormat="1" x14ac:dyDescent="0.2">
      <c r="M12036" s="309"/>
      <c r="AB12036" s="310"/>
    </row>
    <row r="12037" spans="13:28" s="308" customFormat="1" x14ac:dyDescent="0.2">
      <c r="M12037" s="309"/>
      <c r="AB12037" s="310"/>
    </row>
    <row r="12038" spans="13:28" s="308" customFormat="1" x14ac:dyDescent="0.2">
      <c r="M12038" s="309"/>
      <c r="AB12038" s="310"/>
    </row>
    <row r="12039" spans="13:28" s="308" customFormat="1" x14ac:dyDescent="0.2">
      <c r="M12039" s="309"/>
      <c r="AB12039" s="310"/>
    </row>
    <row r="12040" spans="13:28" s="308" customFormat="1" x14ac:dyDescent="0.2">
      <c r="M12040" s="309"/>
      <c r="AB12040" s="310"/>
    </row>
    <row r="12041" spans="13:28" s="308" customFormat="1" x14ac:dyDescent="0.2">
      <c r="M12041" s="309"/>
      <c r="AB12041" s="310"/>
    </row>
    <row r="12042" spans="13:28" s="308" customFormat="1" x14ac:dyDescent="0.2">
      <c r="M12042" s="309"/>
      <c r="AB12042" s="310"/>
    </row>
    <row r="12043" spans="13:28" s="308" customFormat="1" x14ac:dyDescent="0.2">
      <c r="M12043" s="309"/>
      <c r="AB12043" s="310"/>
    </row>
    <row r="12044" spans="13:28" s="308" customFormat="1" x14ac:dyDescent="0.2">
      <c r="M12044" s="309"/>
      <c r="AB12044" s="310"/>
    </row>
    <row r="12045" spans="13:28" s="308" customFormat="1" x14ac:dyDescent="0.2">
      <c r="M12045" s="309"/>
      <c r="AB12045" s="310"/>
    </row>
    <row r="12046" spans="13:28" s="308" customFormat="1" x14ac:dyDescent="0.2">
      <c r="M12046" s="309"/>
      <c r="AB12046" s="310"/>
    </row>
    <row r="12047" spans="13:28" s="308" customFormat="1" x14ac:dyDescent="0.2">
      <c r="M12047" s="309"/>
      <c r="AB12047" s="310"/>
    </row>
    <row r="12048" spans="13:28" s="308" customFormat="1" x14ac:dyDescent="0.2">
      <c r="M12048" s="309"/>
      <c r="AB12048" s="310"/>
    </row>
    <row r="12049" spans="13:28" s="308" customFormat="1" x14ac:dyDescent="0.2">
      <c r="M12049" s="309"/>
      <c r="AB12049" s="310"/>
    </row>
    <row r="12050" spans="13:28" s="308" customFormat="1" x14ac:dyDescent="0.2">
      <c r="M12050" s="309"/>
      <c r="AB12050" s="310"/>
    </row>
    <row r="12051" spans="13:28" s="308" customFormat="1" x14ac:dyDescent="0.2">
      <c r="M12051" s="309"/>
      <c r="AB12051" s="310"/>
    </row>
    <row r="12052" spans="13:28" s="308" customFormat="1" x14ac:dyDescent="0.2">
      <c r="M12052" s="309"/>
      <c r="AB12052" s="310"/>
    </row>
    <row r="12053" spans="13:28" s="308" customFormat="1" x14ac:dyDescent="0.2">
      <c r="M12053" s="309"/>
      <c r="AB12053" s="310"/>
    </row>
    <row r="12054" spans="13:28" s="308" customFormat="1" x14ac:dyDescent="0.2">
      <c r="M12054" s="309"/>
      <c r="AB12054" s="310"/>
    </row>
    <row r="12055" spans="13:28" s="308" customFormat="1" x14ac:dyDescent="0.2">
      <c r="M12055" s="309"/>
      <c r="AB12055" s="310"/>
    </row>
    <row r="12056" spans="13:28" s="308" customFormat="1" x14ac:dyDescent="0.2">
      <c r="M12056" s="309"/>
      <c r="AB12056" s="310"/>
    </row>
    <row r="12057" spans="13:28" s="308" customFormat="1" x14ac:dyDescent="0.2">
      <c r="M12057" s="309"/>
      <c r="AB12057" s="310"/>
    </row>
    <row r="12058" spans="13:28" s="308" customFormat="1" x14ac:dyDescent="0.2">
      <c r="M12058" s="309"/>
      <c r="AB12058" s="310"/>
    </row>
    <row r="12059" spans="13:28" s="308" customFormat="1" x14ac:dyDescent="0.2">
      <c r="M12059" s="309"/>
      <c r="AB12059" s="310"/>
    </row>
    <row r="12060" spans="13:28" s="308" customFormat="1" x14ac:dyDescent="0.2">
      <c r="M12060" s="309"/>
      <c r="AB12060" s="310"/>
    </row>
    <row r="12061" spans="13:28" s="308" customFormat="1" x14ac:dyDescent="0.2">
      <c r="M12061" s="309"/>
      <c r="AB12061" s="310"/>
    </row>
    <row r="12062" spans="13:28" s="308" customFormat="1" x14ac:dyDescent="0.2">
      <c r="M12062" s="309"/>
      <c r="AB12062" s="310"/>
    </row>
    <row r="12063" spans="13:28" s="308" customFormat="1" x14ac:dyDescent="0.2">
      <c r="M12063" s="309"/>
      <c r="AB12063" s="310"/>
    </row>
    <row r="12064" spans="13:28" s="308" customFormat="1" x14ac:dyDescent="0.2">
      <c r="M12064" s="309"/>
      <c r="AB12064" s="310"/>
    </row>
    <row r="12065" spans="13:28" s="308" customFormat="1" x14ac:dyDescent="0.2">
      <c r="M12065" s="309"/>
      <c r="AB12065" s="310"/>
    </row>
    <row r="12066" spans="13:28" s="308" customFormat="1" x14ac:dyDescent="0.2">
      <c r="M12066" s="309"/>
      <c r="AB12066" s="310"/>
    </row>
    <row r="12067" spans="13:28" s="308" customFormat="1" x14ac:dyDescent="0.2">
      <c r="M12067" s="309"/>
      <c r="AB12067" s="310"/>
    </row>
    <row r="12068" spans="13:28" s="308" customFormat="1" x14ac:dyDescent="0.2">
      <c r="M12068" s="309"/>
      <c r="AB12068" s="310"/>
    </row>
    <row r="12069" spans="13:28" s="308" customFormat="1" x14ac:dyDescent="0.2">
      <c r="M12069" s="309"/>
      <c r="AB12069" s="310"/>
    </row>
    <row r="12070" spans="13:28" s="308" customFormat="1" x14ac:dyDescent="0.2">
      <c r="M12070" s="309"/>
      <c r="AB12070" s="310"/>
    </row>
    <row r="12071" spans="13:28" s="308" customFormat="1" x14ac:dyDescent="0.2">
      <c r="M12071" s="309"/>
      <c r="AB12071" s="310"/>
    </row>
    <row r="12072" spans="13:28" s="308" customFormat="1" x14ac:dyDescent="0.2">
      <c r="M12072" s="309"/>
      <c r="AB12072" s="310"/>
    </row>
    <row r="12073" spans="13:28" s="308" customFormat="1" x14ac:dyDescent="0.2">
      <c r="M12073" s="309"/>
      <c r="AB12073" s="310"/>
    </row>
    <row r="12074" spans="13:28" s="308" customFormat="1" x14ac:dyDescent="0.2">
      <c r="M12074" s="309"/>
      <c r="AB12074" s="310"/>
    </row>
    <row r="12075" spans="13:28" s="308" customFormat="1" x14ac:dyDescent="0.2">
      <c r="M12075" s="309"/>
      <c r="AB12075" s="310"/>
    </row>
    <row r="12076" spans="13:28" s="308" customFormat="1" x14ac:dyDescent="0.2">
      <c r="M12076" s="309"/>
      <c r="AB12076" s="310"/>
    </row>
    <row r="12077" spans="13:28" s="308" customFormat="1" x14ac:dyDescent="0.2">
      <c r="M12077" s="309"/>
      <c r="AB12077" s="310"/>
    </row>
    <row r="12078" spans="13:28" s="308" customFormat="1" x14ac:dyDescent="0.2">
      <c r="M12078" s="309"/>
      <c r="AB12078" s="310"/>
    </row>
    <row r="12079" spans="13:28" s="308" customFormat="1" x14ac:dyDescent="0.2">
      <c r="M12079" s="309"/>
      <c r="AB12079" s="310"/>
    </row>
    <row r="12080" spans="13:28" s="308" customFormat="1" x14ac:dyDescent="0.2">
      <c r="M12080" s="309"/>
      <c r="AB12080" s="310"/>
    </row>
    <row r="12081" spans="13:28" s="308" customFormat="1" x14ac:dyDescent="0.2">
      <c r="M12081" s="309"/>
      <c r="AB12081" s="310"/>
    </row>
    <row r="12082" spans="13:28" s="308" customFormat="1" x14ac:dyDescent="0.2">
      <c r="M12082" s="309"/>
      <c r="AB12082" s="310"/>
    </row>
    <row r="12083" spans="13:28" s="308" customFormat="1" x14ac:dyDescent="0.2">
      <c r="M12083" s="309"/>
      <c r="AB12083" s="310"/>
    </row>
    <row r="12084" spans="13:28" s="308" customFormat="1" x14ac:dyDescent="0.2">
      <c r="M12084" s="309"/>
      <c r="AB12084" s="310"/>
    </row>
    <row r="12085" spans="13:28" s="308" customFormat="1" x14ac:dyDescent="0.2">
      <c r="M12085" s="309"/>
      <c r="AB12085" s="310"/>
    </row>
    <row r="12086" spans="13:28" s="308" customFormat="1" x14ac:dyDescent="0.2">
      <c r="M12086" s="309"/>
      <c r="AB12086" s="310"/>
    </row>
    <row r="12087" spans="13:28" s="308" customFormat="1" x14ac:dyDescent="0.2">
      <c r="M12087" s="309"/>
      <c r="AB12087" s="310"/>
    </row>
    <row r="12088" spans="13:28" s="308" customFormat="1" x14ac:dyDescent="0.2">
      <c r="M12088" s="309"/>
      <c r="AB12088" s="310"/>
    </row>
    <row r="12089" spans="13:28" s="308" customFormat="1" x14ac:dyDescent="0.2">
      <c r="M12089" s="309"/>
      <c r="AB12089" s="310"/>
    </row>
    <row r="12090" spans="13:28" s="308" customFormat="1" x14ac:dyDescent="0.2">
      <c r="M12090" s="309"/>
      <c r="AB12090" s="310"/>
    </row>
    <row r="12091" spans="13:28" s="308" customFormat="1" x14ac:dyDescent="0.2">
      <c r="M12091" s="309"/>
      <c r="AB12091" s="310"/>
    </row>
    <row r="12092" spans="13:28" s="308" customFormat="1" x14ac:dyDescent="0.2">
      <c r="M12092" s="309"/>
      <c r="AB12092" s="310"/>
    </row>
    <row r="12093" spans="13:28" s="308" customFormat="1" x14ac:dyDescent="0.2">
      <c r="M12093" s="309"/>
      <c r="AB12093" s="310"/>
    </row>
    <row r="12094" spans="13:28" s="308" customFormat="1" x14ac:dyDescent="0.2">
      <c r="M12094" s="309"/>
      <c r="AB12094" s="310"/>
    </row>
    <row r="12095" spans="13:28" s="308" customFormat="1" x14ac:dyDescent="0.2">
      <c r="M12095" s="309"/>
      <c r="AB12095" s="310"/>
    </row>
    <row r="12096" spans="13:28" s="308" customFormat="1" x14ac:dyDescent="0.2">
      <c r="M12096" s="309"/>
      <c r="AB12096" s="310"/>
    </row>
    <row r="12097" spans="13:28" s="308" customFormat="1" x14ac:dyDescent="0.2">
      <c r="M12097" s="309"/>
      <c r="AB12097" s="310"/>
    </row>
    <row r="12098" spans="13:28" s="308" customFormat="1" x14ac:dyDescent="0.2">
      <c r="M12098" s="309"/>
      <c r="AB12098" s="310"/>
    </row>
    <row r="12099" spans="13:28" s="308" customFormat="1" x14ac:dyDescent="0.2">
      <c r="M12099" s="309"/>
      <c r="AB12099" s="310"/>
    </row>
    <row r="12100" spans="13:28" s="308" customFormat="1" x14ac:dyDescent="0.2">
      <c r="M12100" s="309"/>
      <c r="AB12100" s="310"/>
    </row>
    <row r="12101" spans="13:28" s="308" customFormat="1" x14ac:dyDescent="0.2">
      <c r="M12101" s="309"/>
      <c r="AB12101" s="310"/>
    </row>
    <row r="12102" spans="13:28" s="308" customFormat="1" x14ac:dyDescent="0.2">
      <c r="M12102" s="309"/>
      <c r="AB12102" s="310"/>
    </row>
    <row r="12103" spans="13:28" s="308" customFormat="1" x14ac:dyDescent="0.2">
      <c r="M12103" s="309"/>
      <c r="AB12103" s="310"/>
    </row>
    <row r="12104" spans="13:28" s="308" customFormat="1" x14ac:dyDescent="0.2">
      <c r="M12104" s="309"/>
      <c r="AB12104" s="310"/>
    </row>
    <row r="12105" spans="13:28" s="308" customFormat="1" x14ac:dyDescent="0.2">
      <c r="M12105" s="309"/>
      <c r="AB12105" s="310"/>
    </row>
    <row r="12106" spans="13:28" s="308" customFormat="1" x14ac:dyDescent="0.2">
      <c r="M12106" s="309"/>
      <c r="AB12106" s="310"/>
    </row>
    <row r="12107" spans="13:28" s="308" customFormat="1" x14ac:dyDescent="0.2">
      <c r="M12107" s="309"/>
      <c r="AB12107" s="310"/>
    </row>
    <row r="12108" spans="13:28" s="308" customFormat="1" x14ac:dyDescent="0.2">
      <c r="M12108" s="309"/>
      <c r="AB12108" s="310"/>
    </row>
    <row r="12109" spans="13:28" s="308" customFormat="1" x14ac:dyDescent="0.2">
      <c r="M12109" s="309"/>
      <c r="AB12109" s="310"/>
    </row>
    <row r="12110" spans="13:28" s="308" customFormat="1" x14ac:dyDescent="0.2">
      <c r="M12110" s="309"/>
      <c r="AB12110" s="310"/>
    </row>
    <row r="12111" spans="13:28" s="308" customFormat="1" x14ac:dyDescent="0.2">
      <c r="M12111" s="309"/>
      <c r="AB12111" s="310"/>
    </row>
    <row r="12112" spans="13:28" s="308" customFormat="1" x14ac:dyDescent="0.2">
      <c r="M12112" s="309"/>
      <c r="AB12112" s="310"/>
    </row>
    <row r="12113" spans="13:28" s="308" customFormat="1" x14ac:dyDescent="0.2">
      <c r="M12113" s="309"/>
      <c r="AB12113" s="310"/>
    </row>
    <row r="12114" spans="13:28" s="308" customFormat="1" x14ac:dyDescent="0.2">
      <c r="M12114" s="309"/>
      <c r="AB12114" s="310"/>
    </row>
    <row r="12115" spans="13:28" s="308" customFormat="1" x14ac:dyDescent="0.2">
      <c r="M12115" s="309"/>
      <c r="AB12115" s="310"/>
    </row>
    <row r="12116" spans="13:28" s="308" customFormat="1" x14ac:dyDescent="0.2">
      <c r="M12116" s="309"/>
      <c r="AB12116" s="310"/>
    </row>
    <row r="12117" spans="13:28" s="308" customFormat="1" x14ac:dyDescent="0.2">
      <c r="M12117" s="309"/>
      <c r="AB12117" s="310"/>
    </row>
    <row r="12118" spans="13:28" s="308" customFormat="1" x14ac:dyDescent="0.2">
      <c r="M12118" s="309"/>
      <c r="AB12118" s="310"/>
    </row>
    <row r="12119" spans="13:28" s="308" customFormat="1" x14ac:dyDescent="0.2">
      <c r="M12119" s="309"/>
      <c r="AB12119" s="310"/>
    </row>
    <row r="12120" spans="13:28" s="308" customFormat="1" x14ac:dyDescent="0.2">
      <c r="M12120" s="309"/>
      <c r="AB12120" s="310"/>
    </row>
    <row r="12121" spans="13:28" s="308" customFormat="1" x14ac:dyDescent="0.2">
      <c r="M12121" s="309"/>
      <c r="AB12121" s="310"/>
    </row>
    <row r="12122" spans="13:28" s="308" customFormat="1" x14ac:dyDescent="0.2">
      <c r="M12122" s="309"/>
      <c r="AB12122" s="310"/>
    </row>
    <row r="12123" spans="13:28" s="308" customFormat="1" x14ac:dyDescent="0.2">
      <c r="M12123" s="309"/>
      <c r="AB12123" s="310"/>
    </row>
    <row r="12124" spans="13:28" s="308" customFormat="1" x14ac:dyDescent="0.2">
      <c r="M12124" s="309"/>
      <c r="AB12124" s="310"/>
    </row>
    <row r="12125" spans="13:28" s="308" customFormat="1" x14ac:dyDescent="0.2">
      <c r="M12125" s="309"/>
      <c r="AB12125" s="310"/>
    </row>
    <row r="12126" spans="13:28" s="308" customFormat="1" x14ac:dyDescent="0.2">
      <c r="M12126" s="309"/>
      <c r="AB12126" s="310"/>
    </row>
    <row r="12127" spans="13:28" s="308" customFormat="1" x14ac:dyDescent="0.2">
      <c r="M12127" s="309"/>
      <c r="AB12127" s="310"/>
    </row>
    <row r="12128" spans="13:28" s="308" customFormat="1" x14ac:dyDescent="0.2">
      <c r="M12128" s="309"/>
      <c r="AB12128" s="310"/>
    </row>
    <row r="12129" spans="13:28" s="308" customFormat="1" x14ac:dyDescent="0.2">
      <c r="M12129" s="309"/>
      <c r="AB12129" s="310"/>
    </row>
    <row r="12130" spans="13:28" s="308" customFormat="1" x14ac:dyDescent="0.2">
      <c r="M12130" s="309"/>
      <c r="AB12130" s="310"/>
    </row>
    <row r="12131" spans="13:28" s="308" customFormat="1" x14ac:dyDescent="0.2">
      <c r="M12131" s="309"/>
      <c r="AB12131" s="310"/>
    </row>
    <row r="12132" spans="13:28" s="308" customFormat="1" x14ac:dyDescent="0.2">
      <c r="M12132" s="309"/>
      <c r="AB12132" s="310"/>
    </row>
    <row r="12133" spans="13:28" s="308" customFormat="1" x14ac:dyDescent="0.2">
      <c r="M12133" s="309"/>
      <c r="AB12133" s="310"/>
    </row>
    <row r="12134" spans="13:28" s="308" customFormat="1" x14ac:dyDescent="0.2">
      <c r="M12134" s="309"/>
      <c r="AB12134" s="310"/>
    </row>
    <row r="12135" spans="13:28" s="308" customFormat="1" x14ac:dyDescent="0.2">
      <c r="M12135" s="309"/>
      <c r="AB12135" s="310"/>
    </row>
    <row r="12136" spans="13:28" s="308" customFormat="1" x14ac:dyDescent="0.2">
      <c r="M12136" s="309"/>
      <c r="AB12136" s="310"/>
    </row>
    <row r="12137" spans="13:28" s="308" customFormat="1" x14ac:dyDescent="0.2">
      <c r="M12137" s="309"/>
      <c r="AB12137" s="310"/>
    </row>
    <row r="12138" spans="13:28" s="308" customFormat="1" x14ac:dyDescent="0.2">
      <c r="M12138" s="309"/>
      <c r="AB12138" s="310"/>
    </row>
    <row r="12139" spans="13:28" s="308" customFormat="1" x14ac:dyDescent="0.2">
      <c r="M12139" s="309"/>
      <c r="AB12139" s="310"/>
    </row>
    <row r="12140" spans="13:28" s="308" customFormat="1" x14ac:dyDescent="0.2">
      <c r="M12140" s="309"/>
      <c r="AB12140" s="310"/>
    </row>
    <row r="12141" spans="13:28" s="308" customFormat="1" x14ac:dyDescent="0.2">
      <c r="M12141" s="309"/>
      <c r="AB12141" s="310"/>
    </row>
    <row r="12142" spans="13:28" s="308" customFormat="1" x14ac:dyDescent="0.2">
      <c r="M12142" s="309"/>
      <c r="AB12142" s="310"/>
    </row>
    <row r="12143" spans="13:28" s="308" customFormat="1" x14ac:dyDescent="0.2">
      <c r="M12143" s="309"/>
      <c r="AB12143" s="310"/>
    </row>
    <row r="12144" spans="13:28" s="308" customFormat="1" x14ac:dyDescent="0.2">
      <c r="M12144" s="309"/>
      <c r="AB12144" s="310"/>
    </row>
    <row r="12145" spans="13:28" s="308" customFormat="1" x14ac:dyDescent="0.2">
      <c r="M12145" s="309"/>
      <c r="AB12145" s="310"/>
    </row>
    <row r="12146" spans="13:28" s="308" customFormat="1" x14ac:dyDescent="0.2">
      <c r="M12146" s="309"/>
      <c r="AB12146" s="310"/>
    </row>
    <row r="12147" spans="13:28" s="308" customFormat="1" x14ac:dyDescent="0.2">
      <c r="M12147" s="309"/>
      <c r="AB12147" s="310"/>
    </row>
    <row r="12148" spans="13:28" s="308" customFormat="1" x14ac:dyDescent="0.2">
      <c r="M12148" s="309"/>
      <c r="AB12148" s="310"/>
    </row>
    <row r="12149" spans="13:28" s="308" customFormat="1" x14ac:dyDescent="0.2">
      <c r="M12149" s="309"/>
      <c r="AB12149" s="310"/>
    </row>
    <row r="12150" spans="13:28" s="308" customFormat="1" x14ac:dyDescent="0.2">
      <c r="M12150" s="309"/>
      <c r="AB12150" s="310"/>
    </row>
    <row r="12151" spans="13:28" s="308" customFormat="1" x14ac:dyDescent="0.2">
      <c r="M12151" s="309"/>
      <c r="AB12151" s="310"/>
    </row>
    <row r="12152" spans="13:28" s="308" customFormat="1" x14ac:dyDescent="0.2">
      <c r="M12152" s="309"/>
      <c r="AB12152" s="310"/>
    </row>
    <row r="12153" spans="13:28" s="308" customFormat="1" x14ac:dyDescent="0.2">
      <c r="M12153" s="309"/>
      <c r="AB12153" s="310"/>
    </row>
    <row r="12154" spans="13:28" s="308" customFormat="1" x14ac:dyDescent="0.2">
      <c r="M12154" s="309"/>
      <c r="AB12154" s="310"/>
    </row>
    <row r="12155" spans="13:28" s="308" customFormat="1" x14ac:dyDescent="0.2">
      <c r="M12155" s="309"/>
      <c r="AB12155" s="310"/>
    </row>
    <row r="12156" spans="13:28" s="308" customFormat="1" x14ac:dyDescent="0.2">
      <c r="M12156" s="309"/>
      <c r="AB12156" s="310"/>
    </row>
    <row r="12157" spans="13:28" s="308" customFormat="1" x14ac:dyDescent="0.2">
      <c r="M12157" s="309"/>
      <c r="AB12157" s="310"/>
    </row>
    <row r="12158" spans="13:28" s="308" customFormat="1" x14ac:dyDescent="0.2">
      <c r="M12158" s="309"/>
      <c r="AB12158" s="310"/>
    </row>
    <row r="12159" spans="13:28" s="308" customFormat="1" x14ac:dyDescent="0.2">
      <c r="M12159" s="309"/>
      <c r="AB12159" s="310"/>
    </row>
    <row r="12160" spans="13:28" s="308" customFormat="1" x14ac:dyDescent="0.2">
      <c r="M12160" s="309"/>
      <c r="AB12160" s="310"/>
    </row>
    <row r="12161" spans="13:28" s="308" customFormat="1" x14ac:dyDescent="0.2">
      <c r="M12161" s="309"/>
      <c r="AB12161" s="310"/>
    </row>
    <row r="12162" spans="13:28" s="308" customFormat="1" x14ac:dyDescent="0.2">
      <c r="M12162" s="309"/>
      <c r="AB12162" s="310"/>
    </row>
    <row r="12163" spans="13:28" s="308" customFormat="1" x14ac:dyDescent="0.2">
      <c r="M12163" s="309"/>
      <c r="AB12163" s="310"/>
    </row>
    <row r="12164" spans="13:28" s="308" customFormat="1" x14ac:dyDescent="0.2">
      <c r="M12164" s="309"/>
      <c r="AB12164" s="310"/>
    </row>
    <row r="12165" spans="13:28" s="308" customFormat="1" x14ac:dyDescent="0.2">
      <c r="M12165" s="309"/>
      <c r="AB12165" s="310"/>
    </row>
    <row r="12166" spans="13:28" s="308" customFormat="1" x14ac:dyDescent="0.2">
      <c r="M12166" s="309"/>
      <c r="AB12166" s="310"/>
    </row>
    <row r="12167" spans="13:28" s="308" customFormat="1" x14ac:dyDescent="0.2">
      <c r="M12167" s="309"/>
      <c r="AB12167" s="310"/>
    </row>
    <row r="12168" spans="13:28" s="308" customFormat="1" x14ac:dyDescent="0.2">
      <c r="M12168" s="309"/>
      <c r="AB12168" s="310"/>
    </row>
    <row r="12169" spans="13:28" s="308" customFormat="1" x14ac:dyDescent="0.2">
      <c r="M12169" s="309"/>
      <c r="AB12169" s="310"/>
    </row>
    <row r="12170" spans="13:28" s="308" customFormat="1" x14ac:dyDescent="0.2">
      <c r="M12170" s="309"/>
      <c r="AB12170" s="310"/>
    </row>
    <row r="12171" spans="13:28" s="308" customFormat="1" x14ac:dyDescent="0.2">
      <c r="M12171" s="309"/>
      <c r="AB12171" s="310"/>
    </row>
    <row r="12172" spans="13:28" s="308" customFormat="1" x14ac:dyDescent="0.2">
      <c r="M12172" s="309"/>
      <c r="AB12172" s="310"/>
    </row>
    <row r="12173" spans="13:28" s="308" customFormat="1" x14ac:dyDescent="0.2">
      <c r="M12173" s="309"/>
      <c r="AB12173" s="310"/>
    </row>
    <row r="12174" spans="13:28" s="308" customFormat="1" x14ac:dyDescent="0.2">
      <c r="M12174" s="309"/>
      <c r="AB12174" s="310"/>
    </row>
    <row r="12175" spans="13:28" s="308" customFormat="1" x14ac:dyDescent="0.2">
      <c r="M12175" s="309"/>
      <c r="AB12175" s="310"/>
    </row>
    <row r="12176" spans="13:28" s="308" customFormat="1" x14ac:dyDescent="0.2">
      <c r="M12176" s="309"/>
      <c r="AB12176" s="310"/>
    </row>
    <row r="12177" spans="13:28" s="308" customFormat="1" x14ac:dyDescent="0.2">
      <c r="M12177" s="309"/>
      <c r="AB12177" s="310"/>
    </row>
    <row r="12178" spans="13:28" s="308" customFormat="1" x14ac:dyDescent="0.2">
      <c r="M12178" s="309"/>
      <c r="AB12178" s="310"/>
    </row>
    <row r="12179" spans="13:28" s="308" customFormat="1" x14ac:dyDescent="0.2">
      <c r="M12179" s="309"/>
      <c r="AB12179" s="310"/>
    </row>
    <row r="12180" spans="13:28" s="308" customFormat="1" x14ac:dyDescent="0.2">
      <c r="M12180" s="309"/>
      <c r="AB12180" s="310"/>
    </row>
    <row r="12181" spans="13:28" s="308" customFormat="1" x14ac:dyDescent="0.2">
      <c r="M12181" s="309"/>
      <c r="AB12181" s="310"/>
    </row>
    <row r="12182" spans="13:28" s="308" customFormat="1" x14ac:dyDescent="0.2">
      <c r="M12182" s="309"/>
      <c r="AB12182" s="310"/>
    </row>
    <row r="12183" spans="13:28" s="308" customFormat="1" x14ac:dyDescent="0.2">
      <c r="M12183" s="309"/>
      <c r="AB12183" s="310"/>
    </row>
    <row r="12184" spans="13:28" s="308" customFormat="1" x14ac:dyDescent="0.2">
      <c r="M12184" s="309"/>
      <c r="AB12184" s="310"/>
    </row>
    <row r="12185" spans="13:28" s="308" customFormat="1" x14ac:dyDescent="0.2">
      <c r="M12185" s="309"/>
      <c r="AB12185" s="310"/>
    </row>
    <row r="12186" spans="13:28" s="308" customFormat="1" x14ac:dyDescent="0.2">
      <c r="M12186" s="309"/>
      <c r="AB12186" s="310"/>
    </row>
    <row r="12187" spans="13:28" s="308" customFormat="1" x14ac:dyDescent="0.2">
      <c r="M12187" s="309"/>
      <c r="AB12187" s="310"/>
    </row>
    <row r="12188" spans="13:28" s="308" customFormat="1" x14ac:dyDescent="0.2">
      <c r="M12188" s="309"/>
      <c r="AB12188" s="310"/>
    </row>
    <row r="12189" spans="13:28" s="308" customFormat="1" x14ac:dyDescent="0.2">
      <c r="M12189" s="309"/>
      <c r="AB12189" s="310"/>
    </row>
    <row r="12190" spans="13:28" s="308" customFormat="1" x14ac:dyDescent="0.2">
      <c r="M12190" s="309"/>
      <c r="AB12190" s="310"/>
    </row>
    <row r="12191" spans="13:28" s="308" customFormat="1" x14ac:dyDescent="0.2">
      <c r="M12191" s="309"/>
      <c r="AB12191" s="310"/>
    </row>
    <row r="12192" spans="13:28" s="308" customFormat="1" x14ac:dyDescent="0.2">
      <c r="M12192" s="309"/>
      <c r="AB12192" s="310"/>
    </row>
    <row r="12193" spans="13:28" s="308" customFormat="1" x14ac:dyDescent="0.2">
      <c r="M12193" s="309"/>
      <c r="AB12193" s="310"/>
    </row>
    <row r="12194" spans="13:28" s="308" customFormat="1" x14ac:dyDescent="0.2">
      <c r="M12194" s="309"/>
      <c r="AB12194" s="310"/>
    </row>
    <row r="12195" spans="13:28" s="308" customFormat="1" x14ac:dyDescent="0.2">
      <c r="M12195" s="309"/>
      <c r="AB12195" s="310"/>
    </row>
    <row r="12196" spans="13:28" s="308" customFormat="1" x14ac:dyDescent="0.2">
      <c r="M12196" s="309"/>
      <c r="AB12196" s="310"/>
    </row>
    <row r="12197" spans="13:28" s="308" customFormat="1" x14ac:dyDescent="0.2">
      <c r="M12197" s="309"/>
      <c r="AB12197" s="310"/>
    </row>
    <row r="12198" spans="13:28" s="308" customFormat="1" x14ac:dyDescent="0.2">
      <c r="M12198" s="309"/>
      <c r="AB12198" s="310"/>
    </row>
    <row r="12199" spans="13:28" s="308" customFormat="1" x14ac:dyDescent="0.2">
      <c r="M12199" s="309"/>
      <c r="AB12199" s="310"/>
    </row>
    <row r="12200" spans="13:28" s="308" customFormat="1" x14ac:dyDescent="0.2">
      <c r="M12200" s="309"/>
      <c r="AB12200" s="310"/>
    </row>
    <row r="12201" spans="13:28" s="308" customFormat="1" x14ac:dyDescent="0.2">
      <c r="M12201" s="309"/>
      <c r="AB12201" s="310"/>
    </row>
    <row r="12202" spans="13:28" s="308" customFormat="1" x14ac:dyDescent="0.2">
      <c r="M12202" s="309"/>
      <c r="AB12202" s="310"/>
    </row>
    <row r="12203" spans="13:28" s="308" customFormat="1" x14ac:dyDescent="0.2">
      <c r="M12203" s="309"/>
      <c r="AB12203" s="310"/>
    </row>
    <row r="12204" spans="13:28" s="308" customFormat="1" x14ac:dyDescent="0.2">
      <c r="M12204" s="309"/>
      <c r="AB12204" s="310"/>
    </row>
    <row r="12205" spans="13:28" s="308" customFormat="1" x14ac:dyDescent="0.2">
      <c r="M12205" s="309"/>
      <c r="AB12205" s="310"/>
    </row>
    <row r="12206" spans="13:28" s="308" customFormat="1" x14ac:dyDescent="0.2">
      <c r="M12206" s="309"/>
      <c r="AB12206" s="310"/>
    </row>
    <row r="12207" spans="13:28" s="308" customFormat="1" x14ac:dyDescent="0.2">
      <c r="M12207" s="309"/>
      <c r="AB12207" s="310"/>
    </row>
    <row r="12208" spans="13:28" s="308" customFormat="1" x14ac:dyDescent="0.2">
      <c r="M12208" s="309"/>
      <c r="AB12208" s="310"/>
    </row>
    <row r="12209" spans="13:28" s="308" customFormat="1" x14ac:dyDescent="0.2">
      <c r="M12209" s="309"/>
      <c r="AB12209" s="310"/>
    </row>
    <row r="12210" spans="13:28" s="308" customFormat="1" x14ac:dyDescent="0.2">
      <c r="M12210" s="309"/>
      <c r="AB12210" s="310"/>
    </row>
    <row r="12211" spans="13:28" s="308" customFormat="1" x14ac:dyDescent="0.2">
      <c r="M12211" s="309"/>
      <c r="AB12211" s="310"/>
    </row>
    <row r="12212" spans="13:28" s="308" customFormat="1" x14ac:dyDescent="0.2">
      <c r="M12212" s="309"/>
      <c r="AB12212" s="310"/>
    </row>
    <row r="12213" spans="13:28" s="308" customFormat="1" x14ac:dyDescent="0.2">
      <c r="M12213" s="309"/>
      <c r="AB12213" s="310"/>
    </row>
    <row r="12214" spans="13:28" s="308" customFormat="1" x14ac:dyDescent="0.2">
      <c r="M12214" s="309"/>
      <c r="AB12214" s="310"/>
    </row>
    <row r="12215" spans="13:28" s="308" customFormat="1" x14ac:dyDescent="0.2">
      <c r="M12215" s="309"/>
      <c r="AB12215" s="310"/>
    </row>
    <row r="12216" spans="13:28" s="308" customFormat="1" x14ac:dyDescent="0.2">
      <c r="M12216" s="309"/>
      <c r="AB12216" s="310"/>
    </row>
    <row r="12217" spans="13:28" s="308" customFormat="1" x14ac:dyDescent="0.2">
      <c r="M12217" s="309"/>
      <c r="AB12217" s="310"/>
    </row>
    <row r="12218" spans="13:28" s="308" customFormat="1" x14ac:dyDescent="0.2">
      <c r="M12218" s="309"/>
      <c r="AB12218" s="310"/>
    </row>
    <row r="12219" spans="13:28" s="308" customFormat="1" x14ac:dyDescent="0.2">
      <c r="M12219" s="309"/>
      <c r="AB12219" s="310"/>
    </row>
    <row r="12220" spans="13:28" s="308" customFormat="1" x14ac:dyDescent="0.2">
      <c r="M12220" s="309"/>
      <c r="AB12220" s="310"/>
    </row>
    <row r="12221" spans="13:28" s="308" customFormat="1" x14ac:dyDescent="0.2">
      <c r="M12221" s="309"/>
      <c r="AB12221" s="310"/>
    </row>
    <row r="12222" spans="13:28" s="308" customFormat="1" x14ac:dyDescent="0.2">
      <c r="M12222" s="309"/>
      <c r="AB12222" s="310"/>
    </row>
    <row r="12223" spans="13:28" s="308" customFormat="1" x14ac:dyDescent="0.2">
      <c r="M12223" s="309"/>
      <c r="AB12223" s="310"/>
    </row>
    <row r="12224" spans="13:28" s="308" customFormat="1" x14ac:dyDescent="0.2">
      <c r="M12224" s="309"/>
      <c r="AB12224" s="310"/>
    </row>
    <row r="12225" spans="13:28" s="308" customFormat="1" x14ac:dyDescent="0.2">
      <c r="M12225" s="309"/>
      <c r="AB12225" s="310"/>
    </row>
    <row r="12226" spans="13:28" s="308" customFormat="1" x14ac:dyDescent="0.2">
      <c r="M12226" s="309"/>
      <c r="AB12226" s="310"/>
    </row>
    <row r="12227" spans="13:28" s="308" customFormat="1" x14ac:dyDescent="0.2">
      <c r="M12227" s="309"/>
      <c r="AB12227" s="310"/>
    </row>
    <row r="12228" spans="13:28" s="308" customFormat="1" x14ac:dyDescent="0.2">
      <c r="M12228" s="309"/>
      <c r="AB12228" s="310"/>
    </row>
    <row r="12229" spans="13:28" s="308" customFormat="1" x14ac:dyDescent="0.2">
      <c r="M12229" s="309"/>
      <c r="AB12229" s="310"/>
    </row>
    <row r="12230" spans="13:28" s="308" customFormat="1" x14ac:dyDescent="0.2">
      <c r="M12230" s="309"/>
      <c r="AB12230" s="310"/>
    </row>
    <row r="12231" spans="13:28" s="308" customFormat="1" x14ac:dyDescent="0.2">
      <c r="M12231" s="309"/>
      <c r="AB12231" s="310"/>
    </row>
    <row r="12232" spans="13:28" s="308" customFormat="1" x14ac:dyDescent="0.2">
      <c r="M12232" s="309"/>
      <c r="AB12232" s="310"/>
    </row>
    <row r="12233" spans="13:28" s="308" customFormat="1" x14ac:dyDescent="0.2">
      <c r="M12233" s="309"/>
      <c r="AB12233" s="310"/>
    </row>
    <row r="12234" spans="13:28" s="308" customFormat="1" x14ac:dyDescent="0.2">
      <c r="M12234" s="309"/>
      <c r="AB12234" s="310"/>
    </row>
    <row r="12235" spans="13:28" s="308" customFormat="1" x14ac:dyDescent="0.2">
      <c r="M12235" s="309"/>
      <c r="AB12235" s="310"/>
    </row>
    <row r="12236" spans="13:28" s="308" customFormat="1" x14ac:dyDescent="0.2">
      <c r="M12236" s="309"/>
      <c r="AB12236" s="310"/>
    </row>
    <row r="12237" spans="13:28" s="308" customFormat="1" x14ac:dyDescent="0.2">
      <c r="M12237" s="309"/>
      <c r="AB12237" s="310"/>
    </row>
    <row r="12238" spans="13:28" s="308" customFormat="1" x14ac:dyDescent="0.2">
      <c r="M12238" s="309"/>
      <c r="AB12238" s="310"/>
    </row>
    <row r="12239" spans="13:28" s="308" customFormat="1" x14ac:dyDescent="0.2">
      <c r="M12239" s="309"/>
      <c r="AB12239" s="310"/>
    </row>
    <row r="12240" spans="13:28" s="308" customFormat="1" x14ac:dyDescent="0.2">
      <c r="M12240" s="309"/>
      <c r="AB12240" s="310"/>
    </row>
    <row r="12241" spans="13:28" s="308" customFormat="1" x14ac:dyDescent="0.2">
      <c r="M12241" s="309"/>
      <c r="AB12241" s="310"/>
    </row>
    <row r="12242" spans="13:28" s="308" customFormat="1" x14ac:dyDescent="0.2">
      <c r="M12242" s="309"/>
      <c r="AB12242" s="310"/>
    </row>
    <row r="12243" spans="13:28" s="308" customFormat="1" x14ac:dyDescent="0.2">
      <c r="M12243" s="309"/>
      <c r="AB12243" s="310"/>
    </row>
    <row r="12244" spans="13:28" s="308" customFormat="1" x14ac:dyDescent="0.2">
      <c r="M12244" s="309"/>
      <c r="AB12244" s="310"/>
    </row>
    <row r="12245" spans="13:28" s="308" customFormat="1" x14ac:dyDescent="0.2">
      <c r="M12245" s="309"/>
      <c r="AB12245" s="310"/>
    </row>
    <row r="12246" spans="13:28" s="308" customFormat="1" x14ac:dyDescent="0.2">
      <c r="M12246" s="309"/>
      <c r="AB12246" s="310"/>
    </row>
    <row r="12247" spans="13:28" s="308" customFormat="1" x14ac:dyDescent="0.2">
      <c r="M12247" s="309"/>
      <c r="AB12247" s="310"/>
    </row>
    <row r="12248" spans="13:28" s="308" customFormat="1" x14ac:dyDescent="0.2">
      <c r="M12248" s="309"/>
      <c r="AB12248" s="310"/>
    </row>
    <row r="12249" spans="13:28" s="308" customFormat="1" x14ac:dyDescent="0.2">
      <c r="M12249" s="309"/>
      <c r="AB12249" s="310"/>
    </row>
    <row r="12250" spans="13:28" s="308" customFormat="1" x14ac:dyDescent="0.2">
      <c r="M12250" s="309"/>
      <c r="AB12250" s="310"/>
    </row>
    <row r="12251" spans="13:28" s="308" customFormat="1" x14ac:dyDescent="0.2">
      <c r="M12251" s="309"/>
      <c r="AB12251" s="310"/>
    </row>
    <row r="12252" spans="13:28" s="308" customFormat="1" x14ac:dyDescent="0.2">
      <c r="M12252" s="309"/>
      <c r="AB12252" s="310"/>
    </row>
    <row r="12253" spans="13:28" s="308" customFormat="1" x14ac:dyDescent="0.2">
      <c r="M12253" s="309"/>
      <c r="AB12253" s="310"/>
    </row>
    <row r="12254" spans="13:28" s="308" customFormat="1" x14ac:dyDescent="0.2">
      <c r="M12254" s="309"/>
      <c r="AB12254" s="310"/>
    </row>
    <row r="12255" spans="13:28" s="308" customFormat="1" x14ac:dyDescent="0.2">
      <c r="M12255" s="309"/>
      <c r="AB12255" s="310"/>
    </row>
    <row r="12256" spans="13:28" s="308" customFormat="1" x14ac:dyDescent="0.2">
      <c r="M12256" s="309"/>
      <c r="AB12256" s="310"/>
    </row>
    <row r="12257" spans="13:28" s="308" customFormat="1" x14ac:dyDescent="0.2">
      <c r="M12257" s="309"/>
      <c r="AB12257" s="310"/>
    </row>
    <row r="12258" spans="13:28" s="308" customFormat="1" x14ac:dyDescent="0.2">
      <c r="M12258" s="309"/>
      <c r="AB12258" s="310"/>
    </row>
    <row r="12259" spans="13:28" s="308" customFormat="1" x14ac:dyDescent="0.2">
      <c r="M12259" s="309"/>
      <c r="AB12259" s="310"/>
    </row>
    <row r="12260" spans="13:28" s="308" customFormat="1" x14ac:dyDescent="0.2">
      <c r="M12260" s="309"/>
      <c r="AB12260" s="310"/>
    </row>
    <row r="12261" spans="13:28" s="308" customFormat="1" x14ac:dyDescent="0.2">
      <c r="M12261" s="309"/>
      <c r="AB12261" s="310"/>
    </row>
    <row r="12262" spans="13:28" s="308" customFormat="1" x14ac:dyDescent="0.2">
      <c r="M12262" s="309"/>
      <c r="AB12262" s="310"/>
    </row>
    <row r="12263" spans="13:28" s="308" customFormat="1" x14ac:dyDescent="0.2">
      <c r="M12263" s="309"/>
      <c r="AB12263" s="310"/>
    </row>
    <row r="12264" spans="13:28" s="308" customFormat="1" x14ac:dyDescent="0.2">
      <c r="M12264" s="309"/>
      <c r="AB12264" s="310"/>
    </row>
    <row r="12265" spans="13:28" s="308" customFormat="1" x14ac:dyDescent="0.2">
      <c r="M12265" s="309"/>
      <c r="AB12265" s="310"/>
    </row>
    <row r="12266" spans="13:28" s="308" customFormat="1" x14ac:dyDescent="0.2">
      <c r="M12266" s="309"/>
      <c r="AB12266" s="310"/>
    </row>
    <row r="12267" spans="13:28" s="308" customFormat="1" x14ac:dyDescent="0.2">
      <c r="M12267" s="309"/>
      <c r="AB12267" s="310"/>
    </row>
    <row r="12268" spans="13:28" s="308" customFormat="1" x14ac:dyDescent="0.2">
      <c r="M12268" s="309"/>
      <c r="AB12268" s="310"/>
    </row>
    <row r="12269" spans="13:28" s="308" customFormat="1" x14ac:dyDescent="0.2">
      <c r="M12269" s="309"/>
      <c r="AB12269" s="310"/>
    </row>
    <row r="12270" spans="13:28" s="308" customFormat="1" x14ac:dyDescent="0.2">
      <c r="M12270" s="309"/>
      <c r="AB12270" s="310"/>
    </row>
    <row r="12271" spans="13:28" s="308" customFormat="1" x14ac:dyDescent="0.2">
      <c r="M12271" s="309"/>
      <c r="AB12271" s="310"/>
    </row>
    <row r="12272" spans="13:28" s="308" customFormat="1" x14ac:dyDescent="0.2">
      <c r="M12272" s="309"/>
      <c r="AB12272" s="310"/>
    </row>
    <row r="12273" spans="13:28" s="308" customFormat="1" x14ac:dyDescent="0.2">
      <c r="M12273" s="309"/>
      <c r="AB12273" s="310"/>
    </row>
    <row r="12274" spans="13:28" s="308" customFormat="1" x14ac:dyDescent="0.2">
      <c r="M12274" s="309"/>
      <c r="AB12274" s="310"/>
    </row>
    <row r="12275" spans="13:28" s="308" customFormat="1" x14ac:dyDescent="0.2">
      <c r="M12275" s="309"/>
      <c r="AB12275" s="310"/>
    </row>
    <row r="12276" spans="13:28" s="308" customFormat="1" x14ac:dyDescent="0.2">
      <c r="M12276" s="309"/>
      <c r="AB12276" s="310"/>
    </row>
    <row r="12277" spans="13:28" s="308" customFormat="1" x14ac:dyDescent="0.2">
      <c r="M12277" s="309"/>
      <c r="AB12277" s="310"/>
    </row>
    <row r="12278" spans="13:28" s="308" customFormat="1" x14ac:dyDescent="0.2">
      <c r="M12278" s="309"/>
      <c r="AB12278" s="310"/>
    </row>
    <row r="12279" spans="13:28" s="308" customFormat="1" x14ac:dyDescent="0.2">
      <c r="M12279" s="309"/>
      <c r="AB12279" s="310"/>
    </row>
    <row r="12280" spans="13:28" s="308" customFormat="1" x14ac:dyDescent="0.2">
      <c r="M12280" s="309"/>
      <c r="AB12280" s="310"/>
    </row>
    <row r="12281" spans="13:28" s="308" customFormat="1" x14ac:dyDescent="0.2">
      <c r="M12281" s="309"/>
      <c r="AB12281" s="310"/>
    </row>
    <row r="12282" spans="13:28" s="308" customFormat="1" x14ac:dyDescent="0.2">
      <c r="M12282" s="309"/>
      <c r="AB12282" s="310"/>
    </row>
    <row r="12283" spans="13:28" s="308" customFormat="1" x14ac:dyDescent="0.2">
      <c r="M12283" s="309"/>
      <c r="AB12283" s="310"/>
    </row>
    <row r="12284" spans="13:28" s="308" customFormat="1" x14ac:dyDescent="0.2">
      <c r="M12284" s="309"/>
      <c r="AB12284" s="310"/>
    </row>
    <row r="12285" spans="13:28" s="308" customFormat="1" x14ac:dyDescent="0.2">
      <c r="M12285" s="309"/>
      <c r="AB12285" s="310"/>
    </row>
    <row r="12286" spans="13:28" s="308" customFormat="1" x14ac:dyDescent="0.2">
      <c r="M12286" s="309"/>
      <c r="AB12286" s="310"/>
    </row>
    <row r="12287" spans="13:28" s="308" customFormat="1" x14ac:dyDescent="0.2">
      <c r="M12287" s="309"/>
      <c r="AB12287" s="310"/>
    </row>
    <row r="12288" spans="13:28" s="308" customFormat="1" x14ac:dyDescent="0.2">
      <c r="M12288" s="309"/>
      <c r="AB12288" s="310"/>
    </row>
    <row r="12289" spans="13:28" s="308" customFormat="1" x14ac:dyDescent="0.2">
      <c r="M12289" s="309"/>
      <c r="AB12289" s="310"/>
    </row>
    <row r="12290" spans="13:28" s="308" customFormat="1" x14ac:dyDescent="0.2">
      <c r="M12290" s="309"/>
      <c r="AB12290" s="310"/>
    </row>
    <row r="12291" spans="13:28" s="308" customFormat="1" x14ac:dyDescent="0.2">
      <c r="M12291" s="309"/>
      <c r="AB12291" s="310"/>
    </row>
    <row r="12292" spans="13:28" s="308" customFormat="1" x14ac:dyDescent="0.2">
      <c r="M12292" s="309"/>
      <c r="AB12292" s="310"/>
    </row>
    <row r="12293" spans="13:28" s="308" customFormat="1" x14ac:dyDescent="0.2">
      <c r="M12293" s="309"/>
      <c r="AB12293" s="310"/>
    </row>
    <row r="12294" spans="13:28" s="308" customFormat="1" x14ac:dyDescent="0.2">
      <c r="M12294" s="309"/>
      <c r="AB12294" s="310"/>
    </row>
    <row r="12295" spans="13:28" s="308" customFormat="1" x14ac:dyDescent="0.2">
      <c r="M12295" s="309"/>
      <c r="AB12295" s="310"/>
    </row>
    <row r="12296" spans="13:28" s="308" customFormat="1" x14ac:dyDescent="0.2">
      <c r="M12296" s="309"/>
      <c r="AB12296" s="310"/>
    </row>
    <row r="12297" spans="13:28" s="308" customFormat="1" x14ac:dyDescent="0.2">
      <c r="M12297" s="309"/>
      <c r="AB12297" s="310"/>
    </row>
    <row r="12298" spans="13:28" s="308" customFormat="1" x14ac:dyDescent="0.2">
      <c r="M12298" s="309"/>
      <c r="AB12298" s="310"/>
    </row>
    <row r="12299" spans="13:28" s="308" customFormat="1" x14ac:dyDescent="0.2">
      <c r="M12299" s="309"/>
      <c r="AB12299" s="310"/>
    </row>
    <row r="12300" spans="13:28" s="308" customFormat="1" x14ac:dyDescent="0.2">
      <c r="M12300" s="309"/>
      <c r="AB12300" s="310"/>
    </row>
    <row r="12301" spans="13:28" s="308" customFormat="1" x14ac:dyDescent="0.2">
      <c r="M12301" s="309"/>
      <c r="AB12301" s="310"/>
    </row>
    <row r="12302" spans="13:28" s="308" customFormat="1" x14ac:dyDescent="0.2">
      <c r="M12302" s="309"/>
      <c r="AB12302" s="310"/>
    </row>
    <row r="12303" spans="13:28" s="308" customFormat="1" x14ac:dyDescent="0.2">
      <c r="M12303" s="309"/>
      <c r="AB12303" s="310"/>
    </row>
    <row r="12304" spans="13:28" s="308" customFormat="1" x14ac:dyDescent="0.2">
      <c r="M12304" s="309"/>
      <c r="AB12304" s="310"/>
    </row>
    <row r="12305" spans="13:28" s="308" customFormat="1" x14ac:dyDescent="0.2">
      <c r="M12305" s="309"/>
      <c r="AB12305" s="310"/>
    </row>
    <row r="12306" spans="13:28" s="308" customFormat="1" x14ac:dyDescent="0.2">
      <c r="M12306" s="309"/>
      <c r="AB12306" s="310"/>
    </row>
    <row r="12307" spans="13:28" s="308" customFormat="1" x14ac:dyDescent="0.2">
      <c r="M12307" s="309"/>
      <c r="AB12307" s="310"/>
    </row>
    <row r="12308" spans="13:28" s="308" customFormat="1" x14ac:dyDescent="0.2">
      <c r="M12308" s="309"/>
      <c r="AB12308" s="310"/>
    </row>
    <row r="12309" spans="13:28" s="308" customFormat="1" x14ac:dyDescent="0.2">
      <c r="M12309" s="309"/>
      <c r="AB12309" s="310"/>
    </row>
    <row r="12310" spans="13:28" s="308" customFormat="1" x14ac:dyDescent="0.2">
      <c r="M12310" s="309"/>
      <c r="AB12310" s="310"/>
    </row>
    <row r="12311" spans="13:28" s="308" customFormat="1" x14ac:dyDescent="0.2">
      <c r="M12311" s="309"/>
      <c r="AB12311" s="310"/>
    </row>
    <row r="12312" spans="13:28" s="308" customFormat="1" x14ac:dyDescent="0.2">
      <c r="M12312" s="309"/>
      <c r="AB12312" s="310"/>
    </row>
    <row r="12313" spans="13:28" s="308" customFormat="1" x14ac:dyDescent="0.2">
      <c r="M12313" s="309"/>
      <c r="AB12313" s="310"/>
    </row>
    <row r="12314" spans="13:28" s="308" customFormat="1" x14ac:dyDescent="0.2">
      <c r="M12314" s="309"/>
      <c r="AB12314" s="310"/>
    </row>
    <row r="12315" spans="13:28" s="308" customFormat="1" x14ac:dyDescent="0.2">
      <c r="M12315" s="309"/>
      <c r="AB12315" s="310"/>
    </row>
    <row r="12316" spans="13:28" s="308" customFormat="1" x14ac:dyDescent="0.2">
      <c r="M12316" s="309"/>
      <c r="AB12316" s="310"/>
    </row>
    <row r="12317" spans="13:28" s="308" customFormat="1" x14ac:dyDescent="0.2">
      <c r="M12317" s="309"/>
      <c r="AB12317" s="310"/>
    </row>
    <row r="12318" spans="13:28" s="308" customFormat="1" x14ac:dyDescent="0.2">
      <c r="M12318" s="309"/>
      <c r="AB12318" s="310"/>
    </row>
    <row r="12319" spans="13:28" s="308" customFormat="1" x14ac:dyDescent="0.2">
      <c r="M12319" s="309"/>
      <c r="AB12319" s="310"/>
    </row>
    <row r="12320" spans="13:28" s="308" customFormat="1" x14ac:dyDescent="0.2">
      <c r="M12320" s="309"/>
      <c r="AB12320" s="310"/>
    </row>
    <row r="12321" spans="1:28" s="308" customFormat="1" x14ac:dyDescent="0.2">
      <c r="M12321" s="309"/>
      <c r="AB12321" s="310"/>
    </row>
    <row r="12322" spans="1:28" s="308" customFormat="1" x14ac:dyDescent="0.2">
      <c r="M12322" s="309"/>
      <c r="AB12322" s="310"/>
    </row>
    <row r="12323" spans="1:28" s="308" customFormat="1" x14ac:dyDescent="0.2">
      <c r="M12323" s="309"/>
      <c r="AB12323" s="310"/>
    </row>
    <row r="12324" spans="1:28" s="308" customFormat="1" x14ac:dyDescent="0.2">
      <c r="M12324" s="309"/>
      <c r="AB12324" s="310"/>
    </row>
    <row r="12325" spans="1:28" x14ac:dyDescent="0.2">
      <c r="A12325" s="308"/>
      <c r="B12325" s="308"/>
      <c r="C12325" s="308"/>
      <c r="D12325" s="308"/>
      <c r="E12325" s="308"/>
      <c r="F12325" s="308"/>
      <c r="G12325" s="308"/>
      <c r="H12325" s="308"/>
      <c r="I12325" s="308"/>
      <c r="J12325" s="308"/>
      <c r="K12325" s="308"/>
      <c r="L12325" s="308"/>
      <c r="M12325" s="309"/>
      <c r="N12325" s="308"/>
      <c r="O12325" s="308"/>
      <c r="P12325" s="308"/>
      <c r="Q12325" s="308"/>
      <c r="R12325" s="308"/>
      <c r="S12325" s="308"/>
      <c r="T12325" s="308"/>
      <c r="U12325" s="308"/>
      <c r="V12325" s="308"/>
      <c r="W12325" s="308"/>
      <c r="X12325" s="308"/>
      <c r="Y12325" s="308"/>
      <c r="Z12325" s="308"/>
      <c r="AA12325" s="308"/>
    </row>
    <row r="12326" spans="1:28" x14ac:dyDescent="0.2">
      <c r="A12326" s="308"/>
      <c r="B12326" s="308"/>
      <c r="C12326" s="308"/>
      <c r="D12326" s="308"/>
      <c r="E12326" s="308"/>
      <c r="F12326" s="308"/>
      <c r="G12326" s="308"/>
      <c r="H12326" s="308"/>
      <c r="I12326" s="308"/>
      <c r="J12326" s="308"/>
      <c r="K12326" s="308"/>
      <c r="L12326" s="308"/>
      <c r="M12326" s="309"/>
      <c r="N12326" s="308"/>
      <c r="O12326" s="308"/>
      <c r="P12326" s="308"/>
      <c r="Q12326" s="308"/>
      <c r="R12326" s="308"/>
      <c r="S12326" s="308"/>
      <c r="T12326" s="308"/>
      <c r="U12326" s="308"/>
      <c r="V12326" s="308"/>
      <c r="W12326" s="308"/>
      <c r="X12326" s="308"/>
      <c r="Y12326" s="308"/>
      <c r="Z12326" s="308"/>
      <c r="AA12326" s="308"/>
    </row>
    <row r="12327" spans="1:28" x14ac:dyDescent="0.2">
      <c r="A12327" s="308"/>
      <c r="B12327" s="308"/>
      <c r="C12327" s="308"/>
      <c r="D12327" s="308"/>
      <c r="E12327" s="308"/>
      <c r="F12327" s="308"/>
      <c r="G12327" s="308"/>
      <c r="H12327" s="308"/>
      <c r="I12327" s="308"/>
      <c r="J12327" s="308"/>
      <c r="K12327" s="308"/>
      <c r="L12327" s="308"/>
      <c r="M12327" s="309"/>
      <c r="N12327" s="308"/>
      <c r="O12327" s="308"/>
      <c r="P12327" s="308"/>
      <c r="Q12327" s="308"/>
      <c r="R12327" s="308"/>
      <c r="S12327" s="308"/>
      <c r="T12327" s="308"/>
      <c r="U12327" s="308"/>
      <c r="V12327" s="308"/>
      <c r="W12327" s="308"/>
      <c r="X12327" s="308"/>
      <c r="Y12327" s="308"/>
      <c r="Z12327" s="308"/>
      <c r="AA12327" s="308"/>
    </row>
    <row r="12328" spans="1:28" x14ac:dyDescent="0.2">
      <c r="A12328" s="308"/>
      <c r="B12328" s="308"/>
      <c r="C12328" s="308"/>
      <c r="D12328" s="308"/>
      <c r="E12328" s="308"/>
      <c r="F12328" s="308"/>
      <c r="G12328" s="308"/>
      <c r="H12328" s="308"/>
      <c r="I12328" s="308"/>
      <c r="J12328" s="308"/>
      <c r="K12328" s="308"/>
      <c r="L12328" s="308"/>
      <c r="M12328" s="309"/>
      <c r="N12328" s="308"/>
      <c r="O12328" s="308"/>
      <c r="P12328" s="308"/>
      <c r="Q12328" s="308"/>
      <c r="R12328" s="308"/>
      <c r="S12328" s="308"/>
      <c r="T12328" s="308"/>
      <c r="U12328" s="308"/>
      <c r="V12328" s="308"/>
      <c r="W12328" s="308"/>
      <c r="X12328" s="308"/>
      <c r="Y12328" s="308"/>
      <c r="Z12328" s="308"/>
      <c r="AA12328" s="308"/>
    </row>
    <row r="12329" spans="1:28" x14ac:dyDescent="0.2">
      <c r="A12329" s="308"/>
      <c r="B12329" s="308"/>
      <c r="C12329" s="308"/>
      <c r="D12329" s="308"/>
      <c r="E12329" s="308"/>
      <c r="F12329" s="308"/>
      <c r="G12329" s="308"/>
      <c r="H12329" s="308"/>
      <c r="I12329" s="308"/>
      <c r="J12329" s="308"/>
      <c r="K12329" s="308"/>
      <c r="L12329" s="308"/>
      <c r="M12329" s="309"/>
      <c r="N12329" s="308"/>
      <c r="O12329" s="308"/>
      <c r="P12329" s="308"/>
      <c r="Q12329" s="308"/>
      <c r="R12329" s="308"/>
      <c r="S12329" s="308"/>
      <c r="T12329" s="308"/>
      <c r="U12329" s="308"/>
      <c r="V12329" s="308"/>
      <c r="W12329" s="308"/>
      <c r="X12329" s="308"/>
      <c r="Y12329" s="308"/>
      <c r="Z12329" s="308"/>
      <c r="AA12329" s="308"/>
    </row>
    <row r="12330" spans="1:28" x14ac:dyDescent="0.2">
      <c r="A12330" s="308"/>
      <c r="B12330" s="308"/>
      <c r="C12330" s="308"/>
      <c r="D12330" s="308"/>
      <c r="E12330" s="308"/>
      <c r="F12330" s="308"/>
      <c r="G12330" s="308"/>
      <c r="H12330" s="308"/>
      <c r="I12330" s="308"/>
      <c r="J12330" s="308"/>
      <c r="K12330" s="308"/>
      <c r="L12330" s="308"/>
      <c r="M12330" s="309"/>
      <c r="N12330" s="308"/>
      <c r="O12330" s="308"/>
      <c r="P12330" s="308"/>
      <c r="Q12330" s="308"/>
      <c r="R12330" s="308"/>
      <c r="S12330" s="308"/>
      <c r="T12330" s="308"/>
      <c r="U12330" s="308"/>
      <c r="V12330" s="308"/>
      <c r="W12330" s="308"/>
      <c r="X12330" s="308"/>
      <c r="Y12330" s="308"/>
      <c r="Z12330" s="308"/>
      <c r="AA12330" s="308"/>
    </row>
    <row r="12331" spans="1:28" x14ac:dyDescent="0.2">
      <c r="A12331" s="308"/>
      <c r="B12331" s="308"/>
      <c r="C12331" s="308"/>
      <c r="D12331" s="308"/>
      <c r="E12331" s="308"/>
      <c r="F12331" s="308"/>
      <c r="G12331" s="308"/>
      <c r="H12331" s="308"/>
      <c r="I12331" s="308"/>
      <c r="J12331" s="308"/>
      <c r="K12331" s="308"/>
      <c r="L12331" s="308"/>
      <c r="M12331" s="309"/>
      <c r="N12331" s="308"/>
      <c r="O12331" s="308"/>
      <c r="P12331" s="308"/>
      <c r="Q12331" s="308"/>
      <c r="R12331" s="308"/>
      <c r="S12331" s="308"/>
      <c r="T12331" s="308"/>
      <c r="U12331" s="308"/>
      <c r="V12331" s="308"/>
      <c r="W12331" s="308"/>
      <c r="X12331" s="308"/>
      <c r="Y12331" s="308"/>
      <c r="Z12331" s="308"/>
      <c r="AA12331" s="308"/>
    </row>
    <row r="12332" spans="1:28" x14ac:dyDescent="0.2">
      <c r="A12332" s="308"/>
      <c r="B12332" s="308"/>
      <c r="C12332" s="308"/>
      <c r="D12332" s="308"/>
      <c r="E12332" s="308"/>
      <c r="F12332" s="308"/>
      <c r="G12332" s="308"/>
      <c r="H12332" s="308"/>
      <c r="I12332" s="308"/>
      <c r="J12332" s="308"/>
      <c r="K12332" s="308"/>
      <c r="L12332" s="308"/>
      <c r="M12332" s="309"/>
      <c r="N12332" s="308"/>
      <c r="O12332" s="308"/>
      <c r="P12332" s="308"/>
      <c r="Q12332" s="308"/>
      <c r="R12332" s="308"/>
      <c r="S12332" s="308"/>
      <c r="T12332" s="308"/>
      <c r="U12332" s="308"/>
      <c r="V12332" s="308"/>
      <c r="W12332" s="308"/>
      <c r="X12332" s="308"/>
      <c r="Y12332" s="308"/>
      <c r="Z12332" s="308"/>
      <c r="AA12332" s="308"/>
    </row>
    <row r="12333" spans="1:28" x14ac:dyDescent="0.2">
      <c r="A12333" s="308"/>
      <c r="B12333" s="308"/>
      <c r="C12333" s="308"/>
      <c r="D12333" s="308"/>
      <c r="E12333" s="308"/>
      <c r="F12333" s="308"/>
      <c r="G12333" s="308"/>
      <c r="H12333" s="308"/>
      <c r="I12333" s="308"/>
      <c r="J12333" s="308"/>
      <c r="K12333" s="308"/>
      <c r="L12333" s="308"/>
      <c r="M12333" s="309"/>
      <c r="N12333" s="308"/>
      <c r="O12333" s="308"/>
      <c r="P12333" s="308"/>
      <c r="Q12333" s="308"/>
      <c r="R12333" s="308"/>
      <c r="S12333" s="308"/>
      <c r="T12333" s="308"/>
      <c r="U12333" s="308"/>
      <c r="V12333" s="308"/>
      <c r="W12333" s="308"/>
      <c r="X12333" s="308"/>
      <c r="Y12333" s="308"/>
      <c r="Z12333" s="308"/>
      <c r="AA12333" s="308"/>
    </row>
    <row r="12334" spans="1:28" x14ac:dyDescent="0.2">
      <c r="A12334" s="308"/>
      <c r="B12334" s="308"/>
      <c r="C12334" s="308"/>
      <c r="D12334" s="308"/>
      <c r="E12334" s="308"/>
      <c r="F12334" s="308"/>
      <c r="G12334" s="308"/>
      <c r="H12334" s="308"/>
      <c r="I12334" s="308"/>
      <c r="J12334" s="308"/>
      <c r="K12334" s="308"/>
      <c r="L12334" s="308"/>
      <c r="M12334" s="309"/>
      <c r="N12334" s="308"/>
      <c r="O12334" s="308"/>
      <c r="P12334" s="308"/>
      <c r="Q12334" s="308"/>
      <c r="R12334" s="308"/>
      <c r="S12334" s="308"/>
      <c r="T12334" s="308"/>
      <c r="U12334" s="308"/>
      <c r="V12334" s="308"/>
      <c r="W12334" s="308"/>
      <c r="X12334" s="308"/>
      <c r="Y12334" s="308"/>
      <c r="Z12334" s="308"/>
      <c r="AA12334" s="308"/>
    </row>
    <row r="12335" spans="1:28" x14ac:dyDescent="0.2">
      <c r="A12335" s="308"/>
      <c r="B12335" s="308"/>
      <c r="C12335" s="308"/>
      <c r="D12335" s="308"/>
      <c r="E12335" s="308"/>
      <c r="F12335" s="308"/>
      <c r="G12335" s="308"/>
      <c r="H12335" s="308"/>
      <c r="I12335" s="308"/>
      <c r="J12335" s="308"/>
      <c r="K12335" s="308"/>
      <c r="L12335" s="308"/>
      <c r="M12335" s="309"/>
      <c r="N12335" s="308"/>
      <c r="O12335" s="308"/>
      <c r="P12335" s="308"/>
      <c r="Q12335" s="308"/>
      <c r="R12335" s="308"/>
      <c r="S12335" s="308"/>
      <c r="T12335" s="308"/>
      <c r="U12335" s="308"/>
      <c r="V12335" s="308"/>
      <c r="W12335" s="308"/>
      <c r="X12335" s="308"/>
      <c r="Y12335" s="308"/>
      <c r="Z12335" s="308"/>
      <c r="AA12335" s="308"/>
    </row>
  </sheetData>
  <sheetProtection selectLockedCells="1"/>
  <sortState ref="L98:S106">
    <sortCondition ref="L98:L106"/>
  </sortState>
  <customSheetViews>
    <customSheetView guid="{C798F9DC-8C66-4C7B-B521-CB959D9721F2}" scale="75" fitToPage="1" state="hidden">
      <pageMargins left="0.78740157480314965" right="0.78740157480314965" top="0.98425196850393704" bottom="0.98425196850393704" header="0.51181102362204722" footer="0.51181102362204722"/>
      <printOptions horizontalCentered="1" verticalCentered="1"/>
      <pageSetup paperSize="9" scale="34" orientation="landscape" verticalDpi="4" r:id="rId1"/>
      <headerFooter alignWithMargins="0">
        <oddHeader>&amp;A</oddHeader>
        <oddFooter>&amp;F</oddFooter>
      </headerFooter>
    </customSheetView>
  </customSheetViews>
  <mergeCells count="36">
    <mergeCell ref="K88:K96"/>
    <mergeCell ref="K114:K122"/>
    <mergeCell ref="K281:K289"/>
    <mergeCell ref="K222:K230"/>
    <mergeCell ref="K246:K254"/>
    <mergeCell ref="K270:K278"/>
    <mergeCell ref="K257:K265"/>
    <mergeCell ref="K233:K241"/>
    <mergeCell ref="K25:L25"/>
    <mergeCell ref="K26:L26"/>
    <mergeCell ref="C25:E25"/>
    <mergeCell ref="C28:E28"/>
    <mergeCell ref="K27:L27"/>
    <mergeCell ref="K28:L28"/>
    <mergeCell ref="C29:E29"/>
    <mergeCell ref="C26:E26"/>
    <mergeCell ref="C27:E27"/>
    <mergeCell ref="T253:V253"/>
    <mergeCell ref="K47:K55"/>
    <mergeCell ref="K209:K217"/>
    <mergeCell ref="K100:K108"/>
    <mergeCell ref="K174:K182"/>
    <mergeCell ref="K198:K206"/>
    <mergeCell ref="K161:K169"/>
    <mergeCell ref="K150:K158"/>
    <mergeCell ref="K63:K71"/>
    <mergeCell ref="K185:K193"/>
    <mergeCell ref="K76:K84"/>
    <mergeCell ref="K137:K145"/>
    <mergeCell ref="K126:K134"/>
    <mergeCell ref="K292:K300"/>
    <mergeCell ref="T229:V229"/>
    <mergeCell ref="T122:V122"/>
    <mergeCell ref="T157:V157"/>
    <mergeCell ref="T181:V181"/>
    <mergeCell ref="T205:V205"/>
  </mergeCells>
  <phoneticPr fontId="6" type="noConversion"/>
  <conditionalFormatting sqref="L233:L241 L222:L230 L270:L278 L63:L71 L150:L158 L76:L84 L161:L169 L198:L206 L185:L193 L257:L265 L246:L254 L126:L134 L114:L122 L47:L55 L174:L182 L281:L289 L209:L217 L302:L310">
    <cfRule type="cellIs" dxfId="12" priority="7" stopIfTrue="1" operator="equal">
      <formula>$X$71</formula>
    </cfRule>
  </conditionalFormatting>
  <conditionalFormatting sqref="M161:S169 M145:S145 M257:S265 M246:S254 M185:S193 M270:S278 M209:S217 M222:S230 M281:S289 M233:S241 M150:S158 M174:S182 M198:S206">
    <cfRule type="cellIs" dxfId="11" priority="8" stopIfTrue="1" operator="equal">
      <formula>#REF!</formula>
    </cfRule>
  </conditionalFormatting>
  <conditionalFormatting sqref="L137:L145 M137:S144">
    <cfRule type="cellIs" dxfId="10" priority="9" stopIfTrue="1" operator="equal">
      <formula>$Y$124</formula>
    </cfRule>
  </conditionalFormatting>
  <conditionalFormatting sqref="M126:S134 M76:T84">
    <cfRule type="cellIs" dxfId="9" priority="10" stopIfTrue="1" operator="equal">
      <formula>#REF!</formula>
    </cfRule>
  </conditionalFormatting>
  <conditionalFormatting sqref="N23 N58:N61">
    <cfRule type="cellIs" dxfId="8" priority="11" stopIfTrue="1" operator="equal">
      <formula>#REF!</formula>
    </cfRule>
  </conditionalFormatting>
  <conditionalFormatting sqref="O58:T61 O23:S23 T62 U23:Z30 AB23">
    <cfRule type="cellIs" dxfId="7" priority="12" stopIfTrue="1" operator="equal">
      <formula>#REF!</formula>
    </cfRule>
  </conditionalFormatting>
  <conditionalFormatting sqref="T114:T121 M47:S55 M63:T71">
    <cfRule type="cellIs" dxfId="6" priority="13" stopIfTrue="1" operator="equal">
      <formula>$X$71</formula>
    </cfRule>
  </conditionalFormatting>
  <conditionalFormatting sqref="M114:S122">
    <cfRule type="cellIs" dxfId="5" priority="14" stopIfTrue="1" operator="equal">
      <formula>$Z$115</formula>
    </cfRule>
  </conditionalFormatting>
  <conditionalFormatting sqref="M302:Z310">
    <cfRule type="cellIs" dxfId="4" priority="15" stopIfTrue="1" operator="notEqual">
      <formula>0</formula>
    </cfRule>
  </conditionalFormatting>
  <conditionalFormatting sqref="L88:L96">
    <cfRule type="cellIs" dxfId="3" priority="5" stopIfTrue="1" operator="equal">
      <formula>$X$71</formula>
    </cfRule>
  </conditionalFormatting>
  <conditionalFormatting sqref="M88:S96">
    <cfRule type="cellIs" dxfId="2" priority="6" stopIfTrue="1" operator="equal">
      <formula>$X$71</formula>
    </cfRule>
  </conditionalFormatting>
  <conditionalFormatting sqref="L292:L300">
    <cfRule type="cellIs" dxfId="1" priority="1" stopIfTrue="1" operator="equal">
      <formula>$X$71</formula>
    </cfRule>
  </conditionalFormatting>
  <conditionalFormatting sqref="M292:S300">
    <cfRule type="cellIs" dxfId="0" priority="2" stopIfTrue="1" operator="equal">
      <formula>#REF!</formula>
    </cfRule>
  </conditionalFormatting>
  <printOptions horizontalCentered="1" verticalCentered="1"/>
  <pageMargins left="0.78740157480314965" right="0.78740157480314965" top="0.98425196850393704" bottom="0.98425196850393704" header="0.51181102362204722" footer="0.51181102362204722"/>
  <pageSetup paperSize="9" scale="79" orientation="landscape" verticalDpi="4" r:id="rId2"/>
  <headerFooter alignWithMargins="0">
    <oddHeader>&amp;A</oddHeader>
    <oddFoote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6932118566F854299BDC9B07A237EB3" ma:contentTypeVersion="4" ma:contentTypeDescription="Create a new document." ma:contentTypeScope="" ma:versionID="4af415bb5bffea5788a212059034f03b">
  <xsd:schema xmlns:xsd="http://www.w3.org/2001/XMLSchema" xmlns:xs="http://www.w3.org/2001/XMLSchema" xmlns:p="http://schemas.microsoft.com/office/2006/metadata/properties" xmlns:ns2="6dac7dcc-4f9f-4cad-bc11-c2670d2b2922" targetNamespace="http://schemas.microsoft.com/office/2006/metadata/properties" ma:root="true" ma:fieldsID="779aadb1887a84abe889484c28316aad" ns2:_="">
    <xsd:import namespace="6dac7dcc-4f9f-4cad-bc11-c2670d2b2922"/>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ac7dcc-4f9f-4cad-bc11-c2670d2b292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0AD46D5B-66A5-48A8-8B1F-54E2ACDEAB90}">
  <ds:schemaRefs>
    <ds:schemaRef ds:uri="http://schemas.microsoft.com/sharepoint/v3/contenttype/forms"/>
  </ds:schemaRefs>
</ds:datastoreItem>
</file>

<file path=customXml/itemProps2.xml><?xml version="1.0" encoding="utf-8"?>
<ds:datastoreItem xmlns:ds="http://schemas.openxmlformats.org/officeDocument/2006/customXml" ds:itemID="{6DA6E559-954F-4F76-8E54-634FF69D31D8}">
  <ds:schemaRefs>
    <ds:schemaRef ds:uri="6dac7dcc-4f9f-4cad-bc11-c2670d2b2922"/>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F34CC45B-96E3-4725-B4DE-1C7BBDFAB0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ac7dcc-4f9f-4cad-bc11-c2670d2b29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35F089E-BB81-45F6-ADF4-2AFC0A853ED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41</vt:i4>
      </vt:variant>
    </vt:vector>
  </HeadingPairs>
  <TitlesOfParts>
    <vt:vector size="45" baseType="lpstr">
      <vt:lpstr>HINWEISE</vt:lpstr>
      <vt:lpstr>UFK-Garantie</vt:lpstr>
      <vt:lpstr>Verbriefungsgarantie</vt:lpstr>
      <vt:lpstr>Basisdaten</vt:lpstr>
      <vt:lpstr>_RLZ1</vt:lpstr>
      <vt:lpstr>_RLZ2</vt:lpstr>
      <vt:lpstr>_RLZ3</vt:lpstr>
      <vt:lpstr>_RLZ4</vt:lpstr>
      <vt:lpstr>_RLZ5</vt:lpstr>
      <vt:lpstr>_RLZ6</vt:lpstr>
      <vt:lpstr>_RLZ7</vt:lpstr>
      <vt:lpstr>Basisdaten!CE</vt:lpstr>
      <vt:lpstr>CE</vt:lpstr>
      <vt:lpstr>Basisdaten!Druckbereich</vt:lpstr>
      <vt:lpstr>HINWEISE!Druckbereich</vt:lpstr>
      <vt:lpstr>'UFK-Garantie'!Druckbereich</vt:lpstr>
      <vt:lpstr>Verbriefungsgarantie!Druckbereich</vt:lpstr>
      <vt:lpstr>'UFK-Garantie'!Drucktitel</vt:lpstr>
      <vt:lpstr>Verbriefungsgarantie!Drucktitel</vt:lpstr>
      <vt:lpstr>Basisdaten!HOR</vt:lpstr>
      <vt:lpstr>HOR</vt:lpstr>
      <vt:lpstr>HOR_ABR</vt:lpstr>
      <vt:lpstr>Basisdaten!LCF</vt:lpstr>
      <vt:lpstr>Basisdaten!PCCommercial</vt:lpstr>
      <vt:lpstr>PCCommercial</vt:lpstr>
      <vt:lpstr>Basisdaten!PCPolitical</vt:lpstr>
      <vt:lpstr>PCPolitical</vt:lpstr>
      <vt:lpstr>Prämiensatz_CE_1</vt:lpstr>
      <vt:lpstr>Prämiensatz_CE_2</vt:lpstr>
      <vt:lpstr>Prämiensatz_CE_3</vt:lpstr>
      <vt:lpstr>Prämiensatz_CE_4</vt:lpstr>
      <vt:lpstr>Prämiensatz_CE_5</vt:lpstr>
      <vt:lpstr>Prämiensatz_CE_6</vt:lpstr>
      <vt:lpstr>Prämiensatz_CE_7</vt:lpstr>
      <vt:lpstr>Prämiensatz_neu_1</vt:lpstr>
      <vt:lpstr>Prämiensatz_neu_2</vt:lpstr>
      <vt:lpstr>Prämiensatz_neu_3</vt:lpstr>
      <vt:lpstr>Prämiensatz_neu_4</vt:lpstr>
      <vt:lpstr>Prämiensatz_neu_5</vt:lpstr>
      <vt:lpstr>Prämiensatz_neu_6</vt:lpstr>
      <vt:lpstr>Prämiensatz_neu_7</vt:lpstr>
      <vt:lpstr>Basisdaten!RLZ</vt:lpstr>
      <vt:lpstr>RLZ</vt:lpstr>
      <vt:lpstr>RLZ_ABR</vt:lpstr>
      <vt:lpstr>RLZ_Verbriefung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Internet-Entgelttool (Fortfall 3-Tage-Regel zum 1.1.2017)</dc:title>
  <dc:creator>Euler Hermes Aktiengesellschaft</dc:creator>
  <cp:lastModifiedBy>Latranyi, Lilly (EH:GERMANY HV09)</cp:lastModifiedBy>
  <cp:lastPrinted>2019-07-24T15:19:51Z</cp:lastPrinted>
  <dcterms:created xsi:type="dcterms:W3CDTF">2010-06-23T13:11:52Z</dcterms:created>
  <dcterms:modified xsi:type="dcterms:W3CDTF">2022-02-08T13:39:09Z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0x01010006932118566F854299BDC9B07A237EB3</vt:lpwstr>
  </property>
  <property fmtid="{D5CDD505-2E9C-101B-9397-08002B2CF9AE}" pid="3" name="SAF_Department">
    <vt:lpwstr>61;#|9fb8bc81-e8c3-46e1-92c7-db3732345fa9</vt:lpwstr>
  </property>
  <property fmtid="{D5CDD505-2E9C-101B-9397-08002B2CF9AE}" pid="4" name="SAF_Division">
    <vt:lpwstr>62;#|513aff00-bca7-41a2-b80c-40d36cb47ed4</vt:lpwstr>
  </property>
  <property fmtid="{D5CDD505-2E9C-101B-9397-08002B2CF9AE}" pid="5" name="SAF_Company">
    <vt:lpwstr>12;#|2b64540b-d881-40e3-8120-94c7bc5c98c4</vt:lpwstr>
  </property>
  <property fmtid="{D5CDD505-2E9C-101B-9397-08002B2CF9AE}" pid="6" name="oaa3b64ecb914842aa83f0190d972c77">
    <vt:lpwstr>|513aff00-bca7-41a2-b80c-40d36cb47ed4</vt:lpwstr>
  </property>
  <property fmtid="{D5CDD505-2E9C-101B-9397-08002B2CF9AE}" pid="7" name="Category">
    <vt:lpwstr>Entgelt</vt:lpwstr>
  </property>
  <property fmtid="{D5CDD505-2E9C-101B-9397-08002B2CF9AE}" pid="8" name="ad37d51a25df4e05a3b157053c5270a3">
    <vt:lpwstr>|9fb8bc81-e8c3-46e1-92c7-db3732345fa9</vt:lpwstr>
  </property>
  <property fmtid="{D5CDD505-2E9C-101B-9397-08002B2CF9AE}" pid="9" name="TaxCatchAll">
    <vt:lpwstr>62;#|513aff00-bca7-41a2-b80c-40d36cb47ed4;#61;#|9fb8bc81-e8c3-46e1-92c7-db3732345fa9;#12;#|2b64540b-d881-40e3-8120-94c7bc5c98c4</vt:lpwstr>
  </property>
  <property fmtid="{D5CDD505-2E9C-101B-9397-08002B2CF9AE}" pid="10" name="a825e358ec1643889847765ed6ff8a73">
    <vt:lpwstr>|2b64540b-d881-40e3-8120-94c7bc5c98c4</vt:lpwstr>
  </property>
  <property fmtid="{D5CDD505-2E9C-101B-9397-08002B2CF9AE}" pid="11" name="{A44787D4-0540-4523-9961-78E4036D8C6D}">
    <vt:lpwstr>{DEC3378B-20AC-40F8-A19B-E99D7D031DD5}</vt:lpwstr>
  </property>
</Properties>
</file>